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65" windowWidth="19440" windowHeight="8925" activeTab="1"/>
  </bookViews>
  <sheets>
    <sheet name="RESUMO" sheetId="1" r:id="rId1"/>
    <sheet name="aporte" sheetId="2" r:id="rId2"/>
  </sheets>
  <externalReferences>
    <externalReference r:id="rId3"/>
  </externalReferences>
  <definedNames>
    <definedName name="InicioOperacao">'[1]TABELA RESUMO'!$D$6</definedName>
  </definedNames>
  <calcPr calcId="145621"/>
</workbook>
</file>

<file path=xl/calcChain.xml><?xml version="1.0" encoding="utf-8"?>
<calcChain xmlns="http://schemas.openxmlformats.org/spreadsheetml/2006/main">
  <c r="U20" i="2" l="1"/>
  <c r="U6" i="2"/>
  <c r="R26" i="2"/>
  <c r="S26" i="2"/>
  <c r="T26" i="2"/>
  <c r="T7" i="2" s="1"/>
  <c r="U26" i="2"/>
  <c r="U7" i="2" s="1"/>
  <c r="H20" i="1"/>
  <c r="P20" i="1"/>
  <c r="S20" i="1"/>
  <c r="U10" i="2"/>
  <c r="U14" i="2"/>
  <c r="U18" i="2"/>
  <c r="U22" i="2"/>
  <c r="T23" i="2"/>
  <c r="T6" i="2"/>
  <c r="T9" i="2"/>
  <c r="T10" i="2"/>
  <c r="T13" i="2"/>
  <c r="T14" i="2"/>
  <c r="T17" i="2"/>
  <c r="T18" i="2"/>
  <c r="T21" i="2"/>
  <c r="R20" i="2"/>
  <c r="S18" i="1"/>
  <c r="P18" i="1"/>
  <c r="H18" i="1"/>
  <c r="U13" i="2" l="1"/>
  <c r="T20" i="2"/>
  <c r="T16" i="2"/>
  <c r="T12" i="2"/>
  <c r="T8" i="2"/>
  <c r="T22" i="2"/>
  <c r="U16" i="2"/>
  <c r="U12" i="2"/>
  <c r="U8" i="2"/>
  <c r="U21" i="2"/>
  <c r="U17" i="2"/>
  <c r="U9" i="2"/>
  <c r="T19" i="2"/>
  <c r="T15" i="2"/>
  <c r="T11" i="2"/>
  <c r="U23" i="2"/>
  <c r="U19" i="2"/>
  <c r="U15" i="2"/>
  <c r="U11" i="2"/>
  <c r="L14" i="1"/>
  <c r="H14" i="1"/>
  <c r="S19" i="1"/>
  <c r="P19" i="1"/>
  <c r="H19" i="1"/>
  <c r="H26" i="1"/>
  <c r="L35" i="1"/>
  <c r="H35" i="1"/>
  <c r="L34" i="1"/>
  <c r="H34" i="1"/>
  <c r="T13" i="1" l="1"/>
  <c r="T14" i="1"/>
  <c r="T15" i="1"/>
  <c r="T16" i="1"/>
  <c r="T18" i="1"/>
  <c r="T19" i="1"/>
  <c r="T20" i="1"/>
  <c r="R16" i="1"/>
  <c r="R13" i="1"/>
  <c r="R14" i="1"/>
  <c r="R15" i="1"/>
  <c r="R18" i="1"/>
  <c r="R19" i="1"/>
  <c r="R20" i="1"/>
  <c r="N14" i="1"/>
  <c r="N15" i="1"/>
  <c r="N16" i="1"/>
  <c r="N17" i="1"/>
  <c r="J13" i="1"/>
  <c r="J14" i="1"/>
  <c r="J15" i="1"/>
  <c r="J16" i="1"/>
  <c r="J18" i="1"/>
  <c r="J19" i="1"/>
  <c r="J20" i="1"/>
  <c r="F16" i="1"/>
  <c r="F15" i="1"/>
  <c r="L24" i="1"/>
  <c r="D24" i="1" s="1"/>
  <c r="L23" i="1"/>
  <c r="H29" i="1" l="1"/>
  <c r="L29" i="1"/>
  <c r="L28" i="1"/>
  <c r="H28" i="1" s="1"/>
  <c r="H25" i="1"/>
  <c r="S28" i="2" l="1"/>
  <c r="G59" i="2" l="1"/>
  <c r="H32" i="2"/>
  <c r="F32" i="2"/>
  <c r="C42" i="2"/>
  <c r="B42" i="2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C41" i="2"/>
  <c r="E41" i="2" s="1"/>
  <c r="G30" i="2"/>
  <c r="G20" i="2" s="1"/>
  <c r="G12" i="2"/>
  <c r="B8" i="2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N7" i="2"/>
  <c r="N8" i="2" s="1"/>
  <c r="N9" i="2" s="1"/>
  <c r="N10" i="2" s="1"/>
  <c r="N11" i="2" s="1"/>
  <c r="N12" i="2" s="1"/>
  <c r="N13" i="2" s="1"/>
  <c r="N14" i="2" s="1"/>
  <c r="N15" i="2" s="1"/>
  <c r="N16" i="2" s="1"/>
  <c r="N17" i="2" s="1"/>
  <c r="N18" i="2" s="1"/>
  <c r="N19" i="2" s="1"/>
  <c r="N20" i="2" s="1"/>
  <c r="N21" i="2" s="1"/>
  <c r="N22" i="2" s="1"/>
  <c r="N23" i="2" s="1"/>
  <c r="C7" i="2"/>
  <c r="B7" i="2"/>
  <c r="Q6" i="2"/>
  <c r="O6" i="2"/>
  <c r="O7" i="2" s="1"/>
  <c r="Q7" i="2" s="1"/>
  <c r="E6" i="2"/>
  <c r="C6" i="2"/>
  <c r="D21" i="1"/>
  <c r="D17" i="1"/>
  <c r="D12" i="1"/>
  <c r="D9" i="1"/>
  <c r="H31" i="2" l="1"/>
  <c r="H33" i="2"/>
  <c r="I33" i="2"/>
  <c r="H59" i="2"/>
  <c r="I32" i="2"/>
  <c r="F33" i="2"/>
  <c r="G14" i="2"/>
  <c r="G18" i="2"/>
  <c r="G8" i="2"/>
  <c r="C8" i="2"/>
  <c r="E7" i="2"/>
  <c r="F31" i="2"/>
  <c r="F59" i="2"/>
  <c r="C43" i="2"/>
  <c r="E42" i="2"/>
  <c r="G22" i="2"/>
  <c r="G16" i="2"/>
  <c r="G10" i="2"/>
  <c r="G21" i="2"/>
  <c r="G15" i="2"/>
  <c r="G9" i="2"/>
  <c r="G6" i="2"/>
  <c r="G23" i="2"/>
  <c r="G19" i="2"/>
  <c r="G17" i="2"/>
  <c r="G13" i="2"/>
  <c r="G11" i="2"/>
  <c r="G7" i="2"/>
  <c r="L15" i="1"/>
  <c r="O8" i="2"/>
  <c r="I59" i="2"/>
  <c r="I31" i="2"/>
  <c r="C9" i="2" l="1"/>
  <c r="E8" i="2"/>
  <c r="D14" i="1"/>
  <c r="F14" i="1" s="1"/>
  <c r="O9" i="2"/>
  <c r="Q8" i="2"/>
  <c r="D15" i="1"/>
  <c r="E43" i="2"/>
  <c r="C44" i="2"/>
  <c r="G24" i="2"/>
  <c r="C45" i="2" l="1"/>
  <c r="E44" i="2"/>
  <c r="O10" i="2"/>
  <c r="Q9" i="2"/>
  <c r="C10" i="2"/>
  <c r="E9" i="2"/>
  <c r="O11" i="2" l="1"/>
  <c r="Q10" i="2"/>
  <c r="E10" i="2"/>
  <c r="C11" i="2"/>
  <c r="E45" i="2"/>
  <c r="C46" i="2"/>
  <c r="C47" i="2" l="1"/>
  <c r="E46" i="2"/>
  <c r="O12" i="2"/>
  <c r="Q11" i="2"/>
  <c r="C12" i="2"/>
  <c r="E11" i="2"/>
  <c r="E12" i="2" l="1"/>
  <c r="C13" i="2"/>
  <c r="E47" i="2"/>
  <c r="C48" i="2"/>
  <c r="O13" i="2"/>
  <c r="Q12" i="2"/>
  <c r="C14" i="2" l="1"/>
  <c r="E13" i="2"/>
  <c r="Q13" i="2"/>
  <c r="O14" i="2"/>
  <c r="C49" i="2"/>
  <c r="E48" i="2"/>
  <c r="E49" i="2" l="1"/>
  <c r="C50" i="2"/>
  <c r="C15" i="2"/>
  <c r="E14" i="2"/>
  <c r="O15" i="2"/>
  <c r="Q14" i="2"/>
  <c r="C16" i="2" l="1"/>
  <c r="E15" i="2"/>
  <c r="C51" i="2"/>
  <c r="E50" i="2"/>
  <c r="O16" i="2"/>
  <c r="Q15" i="2"/>
  <c r="E16" i="2" l="1"/>
  <c r="C17" i="2"/>
  <c r="E51" i="2"/>
  <c r="C52" i="2"/>
  <c r="O17" i="2"/>
  <c r="Q16" i="2"/>
  <c r="C53" i="2" l="1"/>
  <c r="E52" i="2"/>
  <c r="C18" i="2"/>
  <c r="E17" i="2"/>
  <c r="O18" i="2"/>
  <c r="Q17" i="2"/>
  <c r="O19" i="2" l="1"/>
  <c r="Q18" i="2"/>
  <c r="E18" i="2"/>
  <c r="C19" i="2"/>
  <c r="E53" i="2"/>
  <c r="C54" i="2"/>
  <c r="C20" i="2" l="1"/>
  <c r="E19" i="2"/>
  <c r="C55" i="2"/>
  <c r="E54" i="2"/>
  <c r="Q19" i="2"/>
  <c r="O20" i="2"/>
  <c r="E55" i="2" l="1"/>
  <c r="C56" i="2"/>
  <c r="O21" i="2"/>
  <c r="Q20" i="2"/>
  <c r="C21" i="2"/>
  <c r="E20" i="2"/>
  <c r="O22" i="2" l="1"/>
  <c r="Q21" i="2"/>
  <c r="E56" i="2"/>
  <c r="C57" i="2"/>
  <c r="C22" i="2"/>
  <c r="E21" i="2"/>
  <c r="E22" i="2" l="1"/>
  <c r="C23" i="2"/>
  <c r="E23" i="2" s="1"/>
  <c r="E57" i="2"/>
  <c r="C58" i="2"/>
  <c r="E58" i="2" s="1"/>
  <c r="O23" i="2"/>
  <c r="Q23" i="2" s="1"/>
  <c r="Q22" i="2"/>
  <c r="R24" i="2" l="1"/>
  <c r="R25" i="2" l="1"/>
  <c r="S11" i="1" l="1"/>
  <c r="P11" i="1" l="1"/>
  <c r="L10" i="1"/>
  <c r="L11" i="1" s="1"/>
  <c r="H11" i="1" l="1"/>
  <c r="D11" i="1" s="1"/>
  <c r="D10" i="1"/>
  <c r="U16" i="1"/>
  <c r="U15" i="1" l="1"/>
  <c r="U14" i="1"/>
  <c r="I15" i="1"/>
  <c r="I14" i="1"/>
  <c r="I19" i="1"/>
  <c r="I13" i="1"/>
  <c r="I16" i="1"/>
  <c r="I20" i="1"/>
  <c r="I18" i="1"/>
  <c r="U24" i="2" l="1"/>
  <c r="U25" i="2" s="1"/>
  <c r="L18" i="1"/>
  <c r="U13" i="1"/>
  <c r="D23" i="1"/>
  <c r="T24" i="2"/>
  <c r="U18" i="1"/>
  <c r="L7" i="1"/>
  <c r="D7" i="1" s="1"/>
  <c r="N18" i="1" l="1"/>
  <c r="L26" i="1"/>
  <c r="D26" i="1" s="1"/>
  <c r="T25" i="2"/>
  <c r="L13" i="1"/>
  <c r="D18" i="1"/>
  <c r="F18" i="1" s="1"/>
  <c r="L8" i="1"/>
  <c r="D8" i="1" s="1"/>
  <c r="L6" i="1"/>
  <c r="D6" i="1" s="1"/>
  <c r="N13" i="1" l="1"/>
  <c r="L25" i="1"/>
  <c r="D25" i="1" s="1"/>
  <c r="D13" i="1"/>
  <c r="F13" i="1" s="1"/>
  <c r="L5" i="1" l="1"/>
  <c r="D5" i="1" s="1"/>
  <c r="Q18" i="1" l="1"/>
  <c r="Q13" i="1"/>
  <c r="Q15" i="1"/>
  <c r="Q14" i="1"/>
  <c r="L22" i="1"/>
  <c r="U19" i="1"/>
  <c r="L19" i="1" l="1"/>
  <c r="N19" i="1" s="1"/>
  <c r="Q19" i="1"/>
  <c r="M13" i="1"/>
  <c r="M18" i="1"/>
  <c r="M14" i="1"/>
  <c r="M15" i="1"/>
  <c r="D22" i="1"/>
  <c r="M19" i="1" l="1"/>
  <c r="L20" i="1"/>
  <c r="N20" i="1" s="1"/>
  <c r="Q20" i="1"/>
  <c r="D19" i="1"/>
  <c r="F19" i="1" s="1"/>
  <c r="U20" i="1"/>
  <c r="E13" i="1"/>
  <c r="E18" i="1"/>
  <c r="E14" i="1"/>
  <c r="E15" i="1"/>
  <c r="E19" i="1" l="1"/>
  <c r="D20" i="1"/>
  <c r="F20" i="1" s="1"/>
  <c r="M20" i="1"/>
  <c r="E20" i="1" l="1"/>
  <c r="L16" i="1" l="1"/>
  <c r="Q16" i="1"/>
  <c r="D16" i="1" l="1"/>
  <c r="M16" i="1"/>
  <c r="E16" i="1" l="1"/>
  <c r="F30" i="2" l="1"/>
  <c r="F15" i="2" l="1"/>
  <c r="F17" i="2"/>
  <c r="F16" i="2"/>
  <c r="F10" i="2"/>
  <c r="F20" i="2"/>
  <c r="F9" i="2"/>
  <c r="F22" i="2"/>
  <c r="F14" i="2"/>
  <c r="F12" i="2"/>
  <c r="F8" i="2"/>
  <c r="F21" i="2"/>
  <c r="F18" i="2"/>
  <c r="F23" i="2"/>
  <c r="F19" i="2"/>
  <c r="F13" i="2"/>
  <c r="F11" i="2"/>
  <c r="F7" i="2"/>
  <c r="F6" i="2"/>
  <c r="J12" i="2" l="1"/>
  <c r="J18" i="2"/>
  <c r="J6" i="2"/>
  <c r="F24" i="2"/>
  <c r="R10" i="2" s="1"/>
  <c r="J24" i="2" l="1"/>
  <c r="R12" i="2"/>
  <c r="R8" i="2"/>
  <c r="R16" i="2"/>
  <c r="R19" i="2"/>
  <c r="R13" i="2"/>
  <c r="R9" i="2"/>
  <c r="R21" i="2"/>
  <c r="R18" i="2"/>
  <c r="R7" i="2"/>
  <c r="R11" i="2"/>
  <c r="R17" i="2"/>
  <c r="R6" i="2"/>
  <c r="R22" i="2"/>
  <c r="R14" i="2"/>
  <c r="R15" i="2"/>
  <c r="R23" i="2"/>
  <c r="R28" i="2" l="1"/>
  <c r="H30" i="2"/>
  <c r="I30" i="2"/>
  <c r="H19" i="2" l="1"/>
  <c r="H13" i="2"/>
  <c r="H22" i="2"/>
  <c r="H6" i="2"/>
  <c r="H20" i="2"/>
  <c r="H11" i="2"/>
  <c r="H7" i="2"/>
  <c r="H9" i="2"/>
  <c r="H12" i="2"/>
  <c r="H8" i="2"/>
  <c r="H14" i="2"/>
  <c r="H23" i="2"/>
  <c r="H15" i="2"/>
  <c r="H10" i="2"/>
  <c r="H16" i="2"/>
  <c r="H17" i="2"/>
  <c r="H18" i="2"/>
  <c r="H21" i="2"/>
  <c r="I10" i="2"/>
  <c r="I8" i="2"/>
  <c r="I23" i="2"/>
  <c r="I19" i="2"/>
  <c r="I17" i="2"/>
  <c r="I13" i="2"/>
  <c r="I11" i="2"/>
  <c r="I7" i="2"/>
  <c r="I16" i="2"/>
  <c r="I9" i="2"/>
  <c r="I22" i="2"/>
  <c r="I21" i="2"/>
  <c r="I15" i="2"/>
  <c r="I6" i="2"/>
  <c r="I20" i="2"/>
  <c r="I18" i="2"/>
  <c r="I14" i="2"/>
  <c r="I12" i="2"/>
  <c r="K12" i="2" l="1"/>
  <c r="I24" i="2"/>
  <c r="H24" i="2"/>
  <c r="K6" i="2"/>
  <c r="K18" i="2"/>
  <c r="K24" i="2" l="1"/>
  <c r="U28" i="2" l="1"/>
  <c r="T28" i="2"/>
</calcChain>
</file>

<file path=xl/sharedStrings.xml><?xml version="1.0" encoding="utf-8"?>
<sst xmlns="http://schemas.openxmlformats.org/spreadsheetml/2006/main" count="89" uniqueCount="53">
  <si>
    <t>LOTE 1</t>
  </si>
  <si>
    <t>LOTE 2</t>
  </si>
  <si>
    <t>R$ Milhares</t>
  </si>
  <si>
    <t>TOTAL</t>
  </si>
  <si>
    <t>SOROCABA</t>
  </si>
  <si>
    <t>HSJC + HCRSM</t>
  </si>
  <si>
    <t>SÃO JOSÉ</t>
  </si>
  <si>
    <t>HCRSM</t>
  </si>
  <si>
    <t>APORTE</t>
  </si>
  <si>
    <t>Aporte Ano 1</t>
  </si>
  <si>
    <t>Aporte Ano 2</t>
  </si>
  <si>
    <t>Aporte Ano 3</t>
  </si>
  <si>
    <t>Contraprestação Pecuniária Anual</t>
  </si>
  <si>
    <t>Contraprestação Pecuniária Mensal</t>
  </si>
  <si>
    <t>%/Contrato</t>
  </si>
  <si>
    <t>%/Invest</t>
  </si>
  <si>
    <t>Patrimônio Líquido</t>
  </si>
  <si>
    <t>Garantia de Proposta</t>
  </si>
  <si>
    <t>Garantia de Obra (descartada)</t>
  </si>
  <si>
    <t>Garantia de Execução - desde o início</t>
  </si>
  <si>
    <t>Capital Subscrito</t>
  </si>
  <si>
    <t>Capital Integralizado no ato</t>
  </si>
  <si>
    <t>Capital Integralizado a integralizar</t>
  </si>
  <si>
    <t>Valor do Contrato</t>
  </si>
  <si>
    <t>Valor do Investimento Implantação</t>
  </si>
  <si>
    <t>APORTE DE RECURSOS</t>
  </si>
  <si>
    <t>FLUXO DE INTEGRALIZAÇÃO DE CAPITAL APÓS ASSINATURA (k SUBSCRITO * (1-10%)</t>
  </si>
  <si>
    <t>em R$</t>
  </si>
  <si>
    <t>Lote 1</t>
  </si>
  <si>
    <t>Lote 2</t>
  </si>
  <si>
    <t>PARCELAS</t>
  </si>
  <si>
    <t>MÊS DE EXECUÇÃO DA PARCELA</t>
  </si>
  <si>
    <t>MÊS DO PAGAMENTO (ultimo dia do mês)</t>
  </si>
  <si>
    <t>MULHER</t>
  </si>
  <si>
    <t>HSJC</t>
  </si>
  <si>
    <t>CERTOO</t>
  </si>
  <si>
    <t>Ano 1</t>
  </si>
  <si>
    <t>Ano 2</t>
  </si>
  <si>
    <t>Ano 3</t>
  </si>
  <si>
    <t>TOTAL APORTADO :</t>
  </si>
  <si>
    <t>Capital Subscrito :</t>
  </si>
  <si>
    <t>Capital a Integralizar:</t>
  </si>
  <si>
    <t>SOR</t>
  </si>
  <si>
    <t>CRSM</t>
  </si>
  <si>
    <t>SJC</t>
  </si>
  <si>
    <t>CAPEX</t>
  </si>
  <si>
    <t>Aporte/CAPEX</t>
  </si>
  <si>
    <t>ano 1</t>
  </si>
  <si>
    <t>ano 2</t>
  </si>
  <si>
    <t>ano 3</t>
  </si>
  <si>
    <t>Capital Integralizado na Assinatura do Contrato :</t>
  </si>
  <si>
    <t>Patrimônio Líquido p/ Consórcio (+30%)</t>
  </si>
  <si>
    <t>Investimento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</si>
</sst>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\ * #,##0_-;\-&quot;R$&quot;\ * #,##0_-;_-&quot;R$&quot;\ * &quot;-&quot;??_-;_-@_-"/>
    <numFmt numFmtId="165" formatCode="0.0%"/>
    <numFmt numFmtId="166" formatCode="_-[$R$-416]\ * #,##0_-;\-[$R$-416]\ * #,##0_-;_-[$R$-416]\ * &quot;-&quot;??_-;_-@_-"/>
    <numFmt numFmtId="167" formatCode="_-* #,##0_-;\-* #,##0_-;_-* &quot;-&quot;??_-;_-@_-"/>
    <numFmt numFmtId="168" formatCode="0.000%"/>
    <numFmt numFmtId="169" formatCode="_(* #,##0.00_);_(* \(#,##0.00\);_(* &quot;-&quot;??_);_(@_)"/>
    <numFmt numFmtId="170" formatCode="&quot;R$ &quot;#,##0.00_);[Red]\(&quot;R$ &quot;#,##0.00\)"/>
    <numFmt numFmtId="171" formatCode="0.000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" fillId="0" borderId="0" applyFont="0" applyFill="0" applyBorder="0" applyAlignment="0" applyProtection="0"/>
  </cellStyleXfs>
  <cellXfs count="134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0" xfId="0" applyFont="1"/>
    <xf numFmtId="0" fontId="2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/>
    <xf numFmtId="164" fontId="0" fillId="0" borderId="7" xfId="0" applyNumberForma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0" fontId="0" fillId="0" borderId="0" xfId="0" applyAlignment="1">
      <alignment horizontal="left" indent="1"/>
    </xf>
    <xf numFmtId="164" fontId="0" fillId="0" borderId="4" xfId="0" applyNumberForma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Border="1"/>
    <xf numFmtId="164" fontId="0" fillId="0" borderId="4" xfId="2" applyNumberFormat="1" applyFont="1" applyBorder="1" applyAlignment="1">
      <alignment horizontal="center"/>
    </xf>
    <xf numFmtId="165" fontId="3" fillId="0" borderId="0" xfId="3" applyNumberFormat="1" applyFont="1" applyBorder="1" applyAlignment="1">
      <alignment horizontal="center"/>
    </xf>
    <xf numFmtId="165" fontId="3" fillId="0" borderId="5" xfId="3" applyNumberFormat="1" applyFont="1" applyBorder="1" applyAlignment="1">
      <alignment horizontal="center"/>
    </xf>
    <xf numFmtId="165" fontId="0" fillId="0" borderId="0" xfId="3" applyNumberFormat="1" applyFont="1" applyAlignment="1">
      <alignment horizontal="center"/>
    </xf>
    <xf numFmtId="164" fontId="2" fillId="0" borderId="4" xfId="2" applyNumberFormat="1" applyFont="1" applyBorder="1" applyAlignment="1">
      <alignment horizontal="center"/>
    </xf>
    <xf numFmtId="165" fontId="0" fillId="0" borderId="0" xfId="3" applyNumberFormat="1" applyFont="1" applyBorder="1" applyAlignment="1">
      <alignment horizontal="center"/>
    </xf>
    <xf numFmtId="164" fontId="0" fillId="0" borderId="0" xfId="2" applyNumberFormat="1" applyFont="1" applyBorder="1" applyAlignment="1">
      <alignment horizontal="center"/>
    </xf>
    <xf numFmtId="164" fontId="0" fillId="0" borderId="7" xfId="2" applyNumberFormat="1" applyFont="1" applyBorder="1" applyAlignment="1">
      <alignment horizontal="center"/>
    </xf>
    <xf numFmtId="164" fontId="3" fillId="0" borderId="6" xfId="2" applyNumberFormat="1" applyFont="1" applyBorder="1" applyAlignment="1">
      <alignment horizontal="center"/>
    </xf>
    <xf numFmtId="164" fontId="3" fillId="0" borderId="8" xfId="2" applyNumberFormat="1" applyFont="1" applyBorder="1" applyAlignment="1">
      <alignment horizontal="center"/>
    </xf>
    <xf numFmtId="164" fontId="0" fillId="0" borderId="6" xfId="2" applyNumberFormat="1" applyFont="1" applyBorder="1" applyAlignment="1">
      <alignment horizontal="center"/>
    </xf>
    <xf numFmtId="164" fontId="2" fillId="0" borderId="7" xfId="2" applyNumberFormat="1" applyFont="1" applyBorder="1" applyAlignment="1">
      <alignment horizontal="center"/>
    </xf>
    <xf numFmtId="0" fontId="0" fillId="0" borderId="9" xfId="0" applyFill="1" applyBorder="1"/>
    <xf numFmtId="164" fontId="0" fillId="0" borderId="10" xfId="2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9" xfId="0" applyBorder="1" applyAlignment="1">
      <alignment horizontal="center"/>
    </xf>
    <xf numFmtId="166" fontId="2" fillId="0" borderId="13" xfId="0" applyNumberFormat="1" applyFont="1" applyBorder="1" applyAlignment="1">
      <alignment horizontal="center"/>
    </xf>
    <xf numFmtId="0" fontId="0" fillId="0" borderId="11" xfId="0" applyBorder="1" applyAlignment="1">
      <alignment horizontal="center"/>
    </xf>
    <xf numFmtId="164" fontId="0" fillId="0" borderId="11" xfId="2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9" fontId="3" fillId="0" borderId="0" xfId="0" applyNumberFormat="1" applyFont="1" applyAlignment="1">
      <alignment horizontal="center"/>
    </xf>
    <xf numFmtId="0" fontId="5" fillId="0" borderId="0" xfId="0" applyFont="1"/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0" fontId="6" fillId="2" borderId="17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44" fontId="6" fillId="3" borderId="17" xfId="2" applyFont="1" applyFill="1" applyBorder="1" applyAlignment="1">
      <alignment vertical="center" wrapText="1"/>
    </xf>
    <xf numFmtId="164" fontId="6" fillId="3" borderId="17" xfId="2" applyNumberFormat="1" applyFont="1" applyFill="1" applyBorder="1" applyAlignment="1">
      <alignment vertical="center" wrapText="1"/>
    </xf>
    <xf numFmtId="0" fontId="6" fillId="3" borderId="17" xfId="2" applyNumberFormat="1" applyFont="1" applyFill="1" applyBorder="1" applyAlignment="1">
      <alignment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44" fontId="6" fillId="5" borderId="17" xfId="2" applyFont="1" applyFill="1" applyBorder="1" applyAlignment="1">
      <alignment horizontal="center" vertical="center" wrapText="1"/>
    </xf>
    <xf numFmtId="164" fontId="6" fillId="5" borderId="17" xfId="2" applyNumberFormat="1" applyFont="1" applyFill="1" applyBorder="1" applyAlignment="1">
      <alignment horizontal="center" vertical="center" wrapText="1"/>
    </xf>
    <xf numFmtId="0" fontId="6" fillId="5" borderId="17" xfId="2" applyNumberFormat="1" applyFont="1" applyFill="1" applyBorder="1" applyAlignment="1">
      <alignment horizontal="center" vertical="center" wrapText="1"/>
    </xf>
    <xf numFmtId="164" fontId="6" fillId="3" borderId="21" xfId="2" applyNumberFormat="1" applyFont="1" applyFill="1" applyBorder="1" applyAlignment="1">
      <alignment vertical="center" wrapText="1"/>
    </xf>
    <xf numFmtId="0" fontId="6" fillId="3" borderId="21" xfId="2" applyNumberFormat="1" applyFont="1" applyFill="1" applyBorder="1" applyAlignment="1">
      <alignment vertical="center" wrapText="1"/>
    </xf>
    <xf numFmtId="0" fontId="2" fillId="0" borderId="0" xfId="0" applyFont="1" applyAlignment="1">
      <alignment horizontal="right" indent="1"/>
    </xf>
    <xf numFmtId="44" fontId="2" fillId="0" borderId="14" xfId="2" applyFont="1" applyBorder="1"/>
    <xf numFmtId="44" fontId="2" fillId="0" borderId="17" xfId="2" applyFont="1" applyBorder="1"/>
    <xf numFmtId="44" fontId="2" fillId="0" borderId="4" xfId="2" applyFont="1" applyBorder="1"/>
    <xf numFmtId="44" fontId="2" fillId="0" borderId="0" xfId="2" applyFont="1" applyBorder="1"/>
    <xf numFmtId="0" fontId="2" fillId="0" borderId="0" xfId="0" applyFont="1" applyAlignment="1">
      <alignment horizontal="right"/>
    </xf>
    <xf numFmtId="164" fontId="8" fillId="7" borderId="17" xfId="2" applyNumberFormat="1" applyFont="1" applyFill="1" applyBorder="1" applyAlignment="1"/>
    <xf numFmtId="164" fontId="9" fillId="7" borderId="17" xfId="2" applyNumberFormat="1" applyFont="1" applyFill="1" applyBorder="1" applyAlignment="1"/>
    <xf numFmtId="167" fontId="0" fillId="0" borderId="0" xfId="1" applyNumberFormat="1" applyFont="1"/>
    <xf numFmtId="164" fontId="0" fillId="0" borderId="0" xfId="2" applyNumberFormat="1" applyFont="1"/>
    <xf numFmtId="44" fontId="0" fillId="0" borderId="0" xfId="2" applyFont="1"/>
    <xf numFmtId="43" fontId="2" fillId="0" borderId="0" xfId="0" applyNumberFormat="1" applyFont="1"/>
    <xf numFmtId="9" fontId="2" fillId="8" borderId="0" xfId="0" applyNumberFormat="1" applyFont="1" applyFill="1"/>
    <xf numFmtId="164" fontId="0" fillId="0" borderId="6" xfId="2" applyNumberFormat="1" applyFont="1" applyBorder="1"/>
    <xf numFmtId="10" fontId="0" fillId="0" borderId="0" xfId="3" applyNumberFormat="1" applyFont="1"/>
    <xf numFmtId="168" fontId="6" fillId="3" borderId="17" xfId="3" applyNumberFormat="1" applyFont="1" applyFill="1" applyBorder="1" applyAlignment="1">
      <alignment horizontal="center" vertical="center" wrapText="1"/>
    </xf>
    <xf numFmtId="168" fontId="6" fillId="5" borderId="17" xfId="3" applyNumberFormat="1" applyFont="1" applyFill="1" applyBorder="1" applyAlignment="1">
      <alignment horizontal="center" vertical="center" wrapText="1"/>
    </xf>
    <xf numFmtId="9" fontId="2" fillId="0" borderId="14" xfId="3" applyFont="1" applyBorder="1" applyAlignment="1">
      <alignment horizontal="center"/>
    </xf>
    <xf numFmtId="9" fontId="2" fillId="0" borderId="17" xfId="3" applyFont="1" applyBorder="1" applyAlignment="1">
      <alignment horizontal="center"/>
    </xf>
    <xf numFmtId="171" fontId="0" fillId="0" borderId="0" xfId="3" applyNumberFormat="1" applyFont="1" applyAlignment="1">
      <alignment horizontal="center"/>
    </xf>
    <xf numFmtId="164" fontId="0" fillId="0" borderId="14" xfId="2" applyNumberFormat="1" applyFont="1" applyBorder="1" applyAlignment="1">
      <alignment horizontal="center"/>
    </xf>
    <xf numFmtId="165" fontId="3" fillId="0" borderId="23" xfId="3" applyNumberFormat="1" applyFont="1" applyBorder="1" applyAlignment="1">
      <alignment horizontal="center"/>
    </xf>
    <xf numFmtId="165" fontId="3" fillId="0" borderId="15" xfId="3" applyNumberFormat="1" applyFont="1" applyBorder="1" applyAlignment="1">
      <alignment horizontal="center"/>
    </xf>
    <xf numFmtId="165" fontId="0" fillId="0" borderId="23" xfId="3" applyNumberFormat="1" applyFont="1" applyBorder="1" applyAlignment="1">
      <alignment horizontal="center"/>
    </xf>
    <xf numFmtId="164" fontId="2" fillId="0" borderId="14" xfId="2" applyNumberFormat="1" applyFont="1" applyBorder="1" applyAlignment="1">
      <alignment horizontal="center"/>
    </xf>
    <xf numFmtId="9" fontId="2" fillId="0" borderId="0" xfId="3" applyFont="1" applyAlignment="1">
      <alignment horizontal="center"/>
    </xf>
    <xf numFmtId="164" fontId="0" fillId="0" borderId="13" xfId="2" applyNumberFormat="1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0" fillId="0" borderId="6" xfId="0" applyBorder="1" applyAlignment="1">
      <alignment horizontal="center"/>
    </xf>
    <xf numFmtId="164" fontId="2" fillId="0" borderId="13" xfId="2" applyNumberFormat="1" applyFont="1" applyBorder="1" applyAlignment="1">
      <alignment horizontal="center"/>
    </xf>
    <xf numFmtId="0" fontId="0" fillId="0" borderId="16" xfId="0" applyBorder="1" applyAlignment="1">
      <alignment horizontal="center"/>
    </xf>
    <xf numFmtId="164" fontId="0" fillId="0" borderId="16" xfId="2" applyNumberFormat="1" applyFont="1" applyBorder="1" applyAlignment="1">
      <alignment horizontal="center"/>
    </xf>
    <xf numFmtId="166" fontId="2" fillId="0" borderId="0" xfId="0" applyNumberFormat="1" applyFont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44" fontId="6" fillId="4" borderId="13" xfId="2" applyFont="1" applyFill="1" applyBorder="1" applyAlignment="1">
      <alignment horizontal="center" vertical="center" wrapText="1"/>
    </xf>
    <xf numFmtId="44" fontId="6" fillId="4" borderId="14" xfId="2" applyFont="1" applyFill="1" applyBorder="1" applyAlignment="1">
      <alignment horizontal="center" vertical="center" wrapText="1"/>
    </xf>
    <xf numFmtId="44" fontId="6" fillId="4" borderId="1" xfId="2" applyFont="1" applyFill="1" applyBorder="1" applyAlignment="1">
      <alignment horizontal="center" vertical="center" wrapText="1"/>
    </xf>
    <xf numFmtId="44" fontId="6" fillId="4" borderId="16" xfId="2" applyFont="1" applyFill="1" applyBorder="1" applyAlignment="1">
      <alignment horizontal="center" vertical="center" wrapText="1"/>
    </xf>
    <xf numFmtId="44" fontId="6" fillId="4" borderId="23" xfId="2" applyFont="1" applyFill="1" applyBorder="1" applyAlignment="1">
      <alignment horizontal="center" vertical="center" wrapText="1"/>
    </xf>
    <xf numFmtId="44" fontId="6" fillId="4" borderId="2" xfId="2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5" borderId="25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 wrapText="1"/>
    </xf>
    <xf numFmtId="0" fontId="7" fillId="5" borderId="24" xfId="0" applyFont="1" applyFill="1" applyBorder="1" applyAlignment="1">
      <alignment horizontal="center" vertical="center" wrapText="1"/>
    </xf>
    <xf numFmtId="44" fontId="6" fillId="6" borderId="13" xfId="2" applyFont="1" applyFill="1" applyBorder="1" applyAlignment="1">
      <alignment horizontal="center" vertical="center" wrapText="1"/>
    </xf>
    <xf numFmtId="44" fontId="6" fillId="6" borderId="14" xfId="2" applyFont="1" applyFill="1" applyBorder="1" applyAlignment="1">
      <alignment horizontal="center" vertical="center" wrapText="1"/>
    </xf>
    <xf numFmtId="44" fontId="6" fillId="6" borderId="1" xfId="2" applyFont="1" applyFill="1" applyBorder="1" applyAlignment="1">
      <alignment horizontal="center" vertical="center" wrapText="1"/>
    </xf>
    <xf numFmtId="44" fontId="6" fillId="6" borderId="16" xfId="2" applyFont="1" applyFill="1" applyBorder="1" applyAlignment="1">
      <alignment horizontal="center" vertical="center" wrapText="1"/>
    </xf>
    <xf numFmtId="44" fontId="6" fillId="6" borderId="23" xfId="2" applyFont="1" applyFill="1" applyBorder="1" applyAlignment="1">
      <alignment horizontal="center" vertical="center" wrapText="1"/>
    </xf>
    <xf numFmtId="44" fontId="6" fillId="6" borderId="2" xfId="2" applyFont="1" applyFill="1" applyBorder="1" applyAlignment="1">
      <alignment horizontal="center" vertical="center" wrapText="1"/>
    </xf>
    <xf numFmtId="164" fontId="2" fillId="9" borderId="4" xfId="2" applyNumberFormat="1" applyFont="1" applyFill="1" applyBorder="1" applyAlignment="1">
      <alignment horizontal="center"/>
    </xf>
  </cellXfs>
  <cellStyles count="17">
    <cellStyle name="Comma 2" xfId="4"/>
    <cellStyle name="Comma 2 2" xfId="5"/>
    <cellStyle name="Comma 2 2 2" xfId="6"/>
    <cellStyle name="Moeda" xfId="2" builtinId="4"/>
    <cellStyle name="Normal" xfId="0" builtinId="0"/>
    <cellStyle name="Normal 13 2" xfId="7"/>
    <cellStyle name="Normal 2" xfId="8"/>
    <cellStyle name="Normal 39" xfId="9"/>
    <cellStyle name="Normal 48" xfId="10"/>
    <cellStyle name="Normal 5" xfId="11"/>
    <cellStyle name="Percent 2" xfId="12"/>
    <cellStyle name="Porcentagem" xfId="3" builtinId="5"/>
    <cellStyle name="Porcentagem 2" xfId="13"/>
    <cellStyle name="Separador de milhares 2" xfId="14"/>
    <cellStyle name="Separador de milhares 3" xfId="15"/>
    <cellStyle name="Vírgula" xfId="1" builtinId="3"/>
    <cellStyle name="Vírgula 2" xfId="16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dax/Dropbox/PPPhospitais/Complexos%20Hospitalares/estudos%20recebidos%2018.01.2013/mendes%20j&#250;nior/Caderno%20Econ&#244;mico/Planilhas%20Financeiras/Hospital%20da%20Mulhe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Plan1"/>
      <sheetName val="Dados para Apresentação"/>
      <sheetName val="Relat Versao"/>
      <sheetName val="Capex - Opex"/>
      <sheetName val="Reinvestimentos"/>
      <sheetName val="Aporte"/>
      <sheetName val="Receita Acessória"/>
      <sheetName val="Gráficos"/>
      <sheetName val="Premissas Macro"/>
      <sheetName val="Check-List"/>
      <sheetName val="Financiamentos Price"/>
      <sheetName val="Financiamentos SAC"/>
      <sheetName val="Amortização Contabil"/>
      <sheetName val="Depreciação"/>
      <sheetName val="TABELA RESUMO"/>
      <sheetName val="Consolidação de Dados"/>
      <sheetName val="DRE Fiscal"/>
      <sheetName val="Fluxo de Caixa"/>
      <sheetName val="DRE e Balanço Contabil"/>
      <sheetName val="JSCP, Dividendos, Ret 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6">
          <cell r="D6">
            <v>4</v>
          </cell>
        </row>
      </sheetData>
      <sheetData sheetId="16">
        <row r="139">
          <cell r="C139">
            <v>-3646.4024048950514</v>
          </cell>
        </row>
      </sheetData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35"/>
  <sheetViews>
    <sheetView showGridLines="0" workbookViewId="0"/>
  </sheetViews>
  <sheetFormatPr defaultRowHeight="15" x14ac:dyDescent="0.25"/>
  <cols>
    <col min="1" max="1" width="3.5703125" customWidth="1"/>
    <col min="2" max="2" width="34" customWidth="1"/>
    <col min="3" max="3" width="2.5703125" customWidth="1"/>
    <col min="4" max="4" width="13.42578125" style="1" customWidth="1"/>
    <col min="5" max="6" width="6.5703125" style="2" customWidth="1"/>
    <col min="7" max="7" width="3.28515625" style="1" customWidth="1"/>
    <col min="8" max="8" width="16.28515625" style="3" bestFit="1" customWidth="1"/>
    <col min="9" max="10" width="6.5703125" style="2" customWidth="1"/>
    <col min="11" max="11" width="3.28515625" style="1" customWidth="1"/>
    <col min="12" max="12" width="15" style="3" customWidth="1"/>
    <col min="13" max="14" width="6.5703125" style="2" customWidth="1"/>
    <col min="15" max="15" width="3.28515625" style="1" customWidth="1"/>
    <col min="16" max="16" width="13.42578125" style="1" customWidth="1"/>
    <col min="17" max="18" width="6.5703125" style="2" customWidth="1"/>
    <col min="19" max="19" width="13.42578125" style="1" customWidth="1"/>
    <col min="20" max="21" width="6.5703125" style="2" customWidth="1"/>
    <col min="22" max="22" width="9.140625" customWidth="1"/>
  </cols>
  <sheetData>
    <row r="1" spans="2:21" ht="7.5" customHeight="1" thickBot="1" x14ac:dyDescent="0.3"/>
    <row r="2" spans="2:21" x14ac:dyDescent="0.25">
      <c r="D2" s="4"/>
      <c r="E2" s="5"/>
      <c r="F2" s="6"/>
      <c r="H2" s="7" t="s">
        <v>0</v>
      </c>
      <c r="I2" s="5"/>
      <c r="J2" s="6"/>
      <c r="L2" s="7" t="s">
        <v>1</v>
      </c>
      <c r="M2" s="5"/>
      <c r="N2" s="6"/>
      <c r="O2" s="8"/>
      <c r="P2" s="8"/>
      <c r="Q2" s="5"/>
      <c r="R2" s="5"/>
      <c r="S2" s="8"/>
      <c r="T2" s="5"/>
      <c r="U2" s="6"/>
    </row>
    <row r="3" spans="2:21" s="9" customFormat="1" x14ac:dyDescent="0.25">
      <c r="B3" s="9" t="s">
        <v>2</v>
      </c>
      <c r="D3" s="10" t="s">
        <v>3</v>
      </c>
      <c r="E3" s="11"/>
      <c r="F3" s="12"/>
      <c r="G3" s="3"/>
      <c r="H3" s="10" t="s">
        <v>4</v>
      </c>
      <c r="I3" s="11"/>
      <c r="J3" s="12"/>
      <c r="K3" s="3"/>
      <c r="L3" s="10" t="s">
        <v>5</v>
      </c>
      <c r="M3" s="11"/>
      <c r="N3" s="12"/>
      <c r="O3" s="13"/>
      <c r="P3" s="13" t="s">
        <v>6</v>
      </c>
      <c r="Q3" s="11"/>
      <c r="R3" s="11"/>
      <c r="S3" s="13" t="s">
        <v>7</v>
      </c>
      <c r="T3" s="11"/>
      <c r="U3" s="12"/>
    </row>
    <row r="4" spans="2:21" ht="8.25" customHeight="1" x14ac:dyDescent="0.25">
      <c r="D4" s="14"/>
      <c r="E4" s="15"/>
      <c r="F4" s="16"/>
      <c r="H4" s="10"/>
      <c r="I4" s="15"/>
      <c r="J4" s="16"/>
      <c r="L4" s="10"/>
      <c r="M4" s="15"/>
      <c r="N4" s="16"/>
      <c r="O4" s="17"/>
      <c r="P4" s="17"/>
      <c r="Q4" s="15"/>
      <c r="R4" s="15"/>
      <c r="S4" s="17"/>
      <c r="T4" s="15"/>
      <c r="U4" s="16"/>
    </row>
    <row r="5" spans="2:21" x14ac:dyDescent="0.25">
      <c r="B5" s="18" t="s">
        <v>8</v>
      </c>
      <c r="C5" s="18"/>
      <c r="D5" s="19">
        <f t="shared" ref="D5:D22" si="0">H5+L5</f>
        <v>475989.89446943998</v>
      </c>
      <c r="E5" s="20"/>
      <c r="F5" s="21"/>
      <c r="G5" s="22"/>
      <c r="H5" s="23">
        <v>161693.75763072004</v>
      </c>
      <c r="I5" s="20"/>
      <c r="J5" s="21"/>
      <c r="K5" s="22"/>
      <c r="L5" s="23">
        <f t="shared" ref="L5:L24" si="1">P5+S5</f>
        <v>314296.13683871995</v>
      </c>
      <c r="M5" s="20"/>
      <c r="N5" s="21"/>
      <c r="O5" s="22"/>
      <c r="P5" s="22">
        <v>130254.28370255997</v>
      </c>
      <c r="Q5" s="20"/>
      <c r="R5" s="20"/>
      <c r="S5" s="22">
        <v>184041.85313616</v>
      </c>
      <c r="T5" s="20"/>
      <c r="U5" s="21"/>
    </row>
    <row r="6" spans="2:21" x14ac:dyDescent="0.25">
      <c r="B6" s="24" t="s">
        <v>9</v>
      </c>
      <c r="C6" s="24"/>
      <c r="D6" s="25">
        <f t="shared" si="0"/>
        <v>99136.420619837285</v>
      </c>
      <c r="E6" s="26"/>
      <c r="F6" s="27"/>
      <c r="G6" s="28"/>
      <c r="H6" s="29">
        <v>36704.482982173446</v>
      </c>
      <c r="I6" s="26"/>
      <c r="J6" s="27"/>
      <c r="K6" s="28"/>
      <c r="L6" s="29">
        <f t="shared" si="1"/>
        <v>62431.937637663839</v>
      </c>
      <c r="M6" s="26"/>
      <c r="N6" s="27"/>
      <c r="O6" s="30"/>
      <c r="P6" s="30">
        <v>29611.140495048639</v>
      </c>
      <c r="Q6" s="26"/>
      <c r="R6" s="26"/>
      <c r="S6" s="30">
        <v>32820.7971426152</v>
      </c>
      <c r="T6" s="26"/>
      <c r="U6" s="27"/>
    </row>
    <row r="7" spans="2:21" x14ac:dyDescent="0.25">
      <c r="B7" s="24" t="s">
        <v>10</v>
      </c>
      <c r="C7" s="24"/>
      <c r="D7" s="25">
        <f t="shared" si="0"/>
        <v>215075.44358631453</v>
      </c>
      <c r="E7" s="26"/>
      <c r="F7" s="27"/>
      <c r="G7" s="28"/>
      <c r="H7" s="29">
        <v>74326.136438302667</v>
      </c>
      <c r="I7" s="26"/>
      <c r="J7" s="27"/>
      <c r="K7" s="28"/>
      <c r="L7" s="29">
        <f t="shared" si="1"/>
        <v>140749.30714801187</v>
      </c>
      <c r="M7" s="26"/>
      <c r="N7" s="27"/>
      <c r="O7" s="30"/>
      <c r="P7" s="30">
        <v>54862.593494405708</v>
      </c>
      <c r="Q7" s="26"/>
      <c r="R7" s="26"/>
      <c r="S7" s="30">
        <v>85886.713653606144</v>
      </c>
      <c r="T7" s="26"/>
      <c r="U7" s="27"/>
    </row>
    <row r="8" spans="2:21" x14ac:dyDescent="0.25">
      <c r="B8" s="24" t="s">
        <v>11</v>
      </c>
      <c r="C8" s="24"/>
      <c r="D8" s="25">
        <f t="shared" si="0"/>
        <v>161778.03026328824</v>
      </c>
      <c r="E8" s="26"/>
      <c r="F8" s="27"/>
      <c r="G8" s="28"/>
      <c r="H8" s="29">
        <v>50663.138210243924</v>
      </c>
      <c r="I8" s="26"/>
      <c r="J8" s="27"/>
      <c r="K8" s="28"/>
      <c r="L8" s="29">
        <f t="shared" si="1"/>
        <v>111114.89205304431</v>
      </c>
      <c r="M8" s="26"/>
      <c r="N8" s="27"/>
      <c r="O8" s="30"/>
      <c r="P8" s="30">
        <v>45780.54971310564</v>
      </c>
      <c r="Q8" s="26"/>
      <c r="R8" s="26"/>
      <c r="S8" s="30">
        <v>65334.342339938667</v>
      </c>
      <c r="T8" s="26"/>
      <c r="U8" s="27"/>
    </row>
    <row r="9" spans="2:21" x14ac:dyDescent="0.25">
      <c r="B9" s="24"/>
      <c r="C9" s="24"/>
      <c r="D9" s="25">
        <f t="shared" si="0"/>
        <v>0</v>
      </c>
      <c r="E9" s="26"/>
      <c r="F9" s="27"/>
      <c r="G9" s="28"/>
      <c r="H9" s="29"/>
      <c r="I9" s="26"/>
      <c r="J9" s="27"/>
      <c r="K9" s="28"/>
      <c r="L9" s="29"/>
      <c r="M9" s="26"/>
      <c r="N9" s="27"/>
      <c r="O9" s="30"/>
      <c r="P9" s="30"/>
      <c r="Q9" s="26"/>
      <c r="R9" s="26"/>
      <c r="S9" s="30"/>
      <c r="T9" s="26"/>
      <c r="U9" s="27"/>
    </row>
    <row r="10" spans="2:21" x14ac:dyDescent="0.25">
      <c r="B10" s="31" t="s">
        <v>12</v>
      </c>
      <c r="C10" s="31"/>
      <c r="D10" s="25">
        <f t="shared" si="0"/>
        <v>267559.62954829773</v>
      </c>
      <c r="E10" s="26"/>
      <c r="F10" s="27"/>
      <c r="G10" s="30"/>
      <c r="H10" s="29">
        <v>98622.769692134418</v>
      </c>
      <c r="I10" s="26"/>
      <c r="J10" s="27"/>
      <c r="K10" s="30"/>
      <c r="L10" s="29">
        <f t="shared" si="1"/>
        <v>168936.85985616333</v>
      </c>
      <c r="M10" s="26"/>
      <c r="N10" s="27"/>
      <c r="O10" s="30"/>
      <c r="P10" s="30">
        <v>70001.864781080731</v>
      </c>
      <c r="Q10" s="26"/>
      <c r="R10" s="26"/>
      <c r="S10" s="30">
        <v>98934.995075082581</v>
      </c>
      <c r="T10" s="26"/>
      <c r="U10" s="27"/>
    </row>
    <row r="11" spans="2:21" x14ac:dyDescent="0.25">
      <c r="B11" s="18" t="s">
        <v>13</v>
      </c>
      <c r="C11" s="18"/>
      <c r="D11" s="19">
        <f t="shared" si="0"/>
        <v>22296.63579569148</v>
      </c>
      <c r="E11" s="20"/>
      <c r="F11" s="21"/>
      <c r="G11" s="22"/>
      <c r="H11" s="23">
        <f t="shared" ref="H11:S11" si="2">H10/12</f>
        <v>8218.5641410112021</v>
      </c>
      <c r="I11" s="20"/>
      <c r="J11" s="21"/>
      <c r="K11" s="22"/>
      <c r="L11" s="23">
        <f t="shared" si="2"/>
        <v>14078.071654680278</v>
      </c>
      <c r="M11" s="20"/>
      <c r="N11" s="21"/>
      <c r="O11" s="22"/>
      <c r="P11" s="22">
        <f t="shared" si="2"/>
        <v>5833.4887317567272</v>
      </c>
      <c r="Q11" s="20"/>
      <c r="R11" s="20"/>
      <c r="S11" s="22">
        <f t="shared" si="2"/>
        <v>8244.5829229235478</v>
      </c>
      <c r="T11" s="20"/>
      <c r="U11" s="21"/>
    </row>
    <row r="12" spans="2:21" x14ac:dyDescent="0.25">
      <c r="D12" s="25">
        <f t="shared" si="0"/>
        <v>0</v>
      </c>
      <c r="E12" s="15" t="s">
        <v>14</v>
      </c>
      <c r="F12" s="16" t="s">
        <v>15</v>
      </c>
      <c r="G12" s="2"/>
      <c r="H12" s="10"/>
      <c r="I12" s="15" t="s">
        <v>14</v>
      </c>
      <c r="J12" s="16" t="s">
        <v>15</v>
      </c>
      <c r="K12" s="2"/>
      <c r="L12" s="29"/>
      <c r="M12" s="15" t="s">
        <v>14</v>
      </c>
      <c r="N12" s="16" t="s">
        <v>15</v>
      </c>
      <c r="O12" s="15"/>
      <c r="P12" s="17"/>
      <c r="Q12" s="15" t="s">
        <v>14</v>
      </c>
      <c r="R12" s="15" t="s">
        <v>15</v>
      </c>
      <c r="S12" s="17"/>
      <c r="T12" s="15" t="s">
        <v>14</v>
      </c>
      <c r="U12" s="16" t="s">
        <v>15</v>
      </c>
    </row>
    <row r="13" spans="2:21" x14ac:dyDescent="0.25">
      <c r="B13" s="31" t="s">
        <v>16</v>
      </c>
      <c r="C13" s="31"/>
      <c r="D13" s="32">
        <f t="shared" si="0"/>
        <v>78000</v>
      </c>
      <c r="E13" s="33">
        <f t="shared" ref="E13:E20" si="3">D13/$D$22</f>
        <v>1.5267725694683563E-2</v>
      </c>
      <c r="F13" s="34">
        <f t="shared" ref="F13:F15" si="4">D13/$D$24</f>
        <v>6.6732713316019848E-2</v>
      </c>
      <c r="G13" s="35"/>
      <c r="H13" s="133">
        <v>26000</v>
      </c>
      <c r="I13" s="33">
        <f t="shared" ref="I13:I20" si="5">H13/$H$22</f>
        <v>1.3774161402420252E-2</v>
      </c>
      <c r="J13" s="34">
        <f t="shared" ref="J13:J20" si="6">H13/$H$24</f>
        <v>6.5935042341686095E-2</v>
      </c>
      <c r="K13" s="35"/>
      <c r="L13" s="133">
        <f t="shared" si="1"/>
        <v>52000</v>
      </c>
      <c r="M13" s="33">
        <f>L13/$L$22</f>
        <v>1.6142933573146258E-2</v>
      </c>
      <c r="N13" s="34">
        <f t="shared" ref="N13:N20" si="7">L13/$L$24</f>
        <v>6.7138830415296641E-2</v>
      </c>
      <c r="O13" s="37"/>
      <c r="P13" s="38">
        <v>21500</v>
      </c>
      <c r="Q13" s="33">
        <f t="shared" ref="Q13:Q20" si="8">P13/$P$22</f>
        <v>1.5863799557438676E-2</v>
      </c>
      <c r="R13" s="33">
        <f t="shared" ref="R13:R20" si="9">P13/$P$24</f>
        <v>6.7460237412727303E-2</v>
      </c>
      <c r="S13" s="38">
        <v>30500</v>
      </c>
      <c r="T13" s="33">
        <f t="shared" ref="T13:T20" si="10">S13/$S$23</f>
        <v>9.9433904235147419E-2</v>
      </c>
      <c r="U13" s="34">
        <f>S13/$S$23</f>
        <v>9.9433904235147419E-2</v>
      </c>
    </row>
    <row r="14" spans="2:21" x14ac:dyDescent="0.25">
      <c r="B14" s="31" t="s">
        <v>17</v>
      </c>
      <c r="C14" s="31"/>
      <c r="D14" s="32">
        <f t="shared" si="0"/>
        <v>7800</v>
      </c>
      <c r="E14" s="33">
        <f t="shared" si="3"/>
        <v>1.5267725694683564E-3</v>
      </c>
      <c r="F14" s="34">
        <f t="shared" si="4"/>
        <v>6.6732713316019843E-3</v>
      </c>
      <c r="G14" s="35"/>
      <c r="H14" s="133">
        <f>H35</f>
        <v>2600</v>
      </c>
      <c r="I14" s="33">
        <f t="shared" si="5"/>
        <v>1.377416140242025E-3</v>
      </c>
      <c r="J14" s="34">
        <f t="shared" si="6"/>
        <v>6.5935042341686099E-3</v>
      </c>
      <c r="K14" s="35"/>
      <c r="L14" s="133">
        <f>L35</f>
        <v>5200</v>
      </c>
      <c r="M14" s="33">
        <f t="shared" ref="M14:M20" si="11">L14/$L$22</f>
        <v>1.6142933573146257E-3</v>
      </c>
      <c r="N14" s="34">
        <f t="shared" si="7"/>
        <v>6.7138830415296646E-3</v>
      </c>
      <c r="O14" s="37"/>
      <c r="P14" s="38">
        <v>3000</v>
      </c>
      <c r="Q14" s="33">
        <f t="shared" si="8"/>
        <v>2.2135534266193506E-3</v>
      </c>
      <c r="R14" s="33">
        <f t="shared" si="9"/>
        <v>9.4130563831712512E-3</v>
      </c>
      <c r="S14" s="38">
        <v>4300</v>
      </c>
      <c r="T14" s="33">
        <f t="shared" si="10"/>
        <v>1.401855043315193E-2</v>
      </c>
      <c r="U14" s="34">
        <f t="shared" ref="U14:U16" si="12">S14/$S$23</f>
        <v>1.401855043315193E-2</v>
      </c>
    </row>
    <row r="15" spans="2:21" x14ac:dyDescent="0.25">
      <c r="B15" s="31" t="s">
        <v>18</v>
      </c>
      <c r="C15" s="31"/>
      <c r="D15" s="32">
        <f t="shared" si="0"/>
        <v>0</v>
      </c>
      <c r="E15" s="33">
        <f t="shared" si="3"/>
        <v>0</v>
      </c>
      <c r="F15" s="34">
        <f t="shared" si="4"/>
        <v>0</v>
      </c>
      <c r="G15" s="35"/>
      <c r="H15" s="36">
        <v>0</v>
      </c>
      <c r="I15" s="33">
        <f t="shared" si="5"/>
        <v>0</v>
      </c>
      <c r="J15" s="34">
        <f t="shared" si="6"/>
        <v>0</v>
      </c>
      <c r="K15" s="35"/>
      <c r="L15" s="36">
        <f t="shared" si="1"/>
        <v>0</v>
      </c>
      <c r="M15" s="33">
        <f t="shared" si="11"/>
        <v>0</v>
      </c>
      <c r="N15" s="34">
        <f t="shared" si="7"/>
        <v>0</v>
      </c>
      <c r="O15" s="37"/>
      <c r="P15" s="38">
        <v>0</v>
      </c>
      <c r="Q15" s="33">
        <f t="shared" si="8"/>
        <v>0</v>
      </c>
      <c r="R15" s="33">
        <f t="shared" si="9"/>
        <v>0</v>
      </c>
      <c r="S15" s="38">
        <v>0</v>
      </c>
      <c r="T15" s="33">
        <f t="shared" si="10"/>
        <v>0</v>
      </c>
      <c r="U15" s="34">
        <f t="shared" si="12"/>
        <v>0</v>
      </c>
    </row>
    <row r="16" spans="2:21" x14ac:dyDescent="0.25">
      <c r="B16" s="31" t="s">
        <v>19</v>
      </c>
      <c r="C16" s="31"/>
      <c r="D16" s="32">
        <f t="shared" si="0"/>
        <v>59000</v>
      </c>
      <c r="E16" s="33">
        <f t="shared" si="3"/>
        <v>1.1548664307517055E-2</v>
      </c>
      <c r="F16" s="34">
        <f t="shared" ref="F16:F20" si="13">D16/$D$24</f>
        <v>5.0477308790322702E-2</v>
      </c>
      <c r="G16" s="35"/>
      <c r="H16" s="36">
        <v>20000</v>
      </c>
      <c r="I16" s="33">
        <f t="shared" si="5"/>
        <v>1.0595508771092501E-2</v>
      </c>
      <c r="J16" s="34">
        <f t="shared" si="6"/>
        <v>5.0719263339758534E-2</v>
      </c>
      <c r="K16" s="35"/>
      <c r="L16" s="36">
        <f t="shared" si="1"/>
        <v>39000</v>
      </c>
      <c r="M16" s="33">
        <f t="shared" si="11"/>
        <v>1.2107200179859693E-2</v>
      </c>
      <c r="N16" s="34">
        <f t="shared" si="7"/>
        <v>5.0354122811472488E-2</v>
      </c>
      <c r="O16" s="37"/>
      <c r="P16" s="38">
        <v>16000</v>
      </c>
      <c r="Q16" s="33">
        <f t="shared" si="8"/>
        <v>1.1805618275303202E-2</v>
      </c>
      <c r="R16" s="33">
        <f t="shared" si="9"/>
        <v>5.0202967376913342E-2</v>
      </c>
      <c r="S16" s="38">
        <v>23000</v>
      </c>
      <c r="T16" s="33">
        <f t="shared" si="10"/>
        <v>7.4982944177324276E-2</v>
      </c>
      <c r="U16" s="34">
        <f t="shared" si="12"/>
        <v>7.4982944177324276E-2</v>
      </c>
    </row>
    <row r="17" spans="2:21" x14ac:dyDescent="0.25">
      <c r="B17" s="31"/>
      <c r="C17" s="31"/>
      <c r="D17" s="32">
        <f t="shared" si="0"/>
        <v>0</v>
      </c>
      <c r="E17" s="33"/>
      <c r="F17" s="34"/>
      <c r="G17" s="35"/>
      <c r="H17" s="36"/>
      <c r="I17" s="33"/>
      <c r="J17" s="34"/>
      <c r="K17" s="35"/>
      <c r="L17" s="36"/>
      <c r="M17" s="33"/>
      <c r="N17" s="34">
        <f t="shared" si="7"/>
        <v>0</v>
      </c>
      <c r="O17" s="37"/>
      <c r="P17" s="38"/>
      <c r="Q17" s="33"/>
      <c r="R17" s="33"/>
      <c r="S17" s="38"/>
      <c r="T17" s="33"/>
      <c r="U17" s="34"/>
    </row>
    <row r="18" spans="2:21" x14ac:dyDescent="0.25">
      <c r="B18" s="31" t="s">
        <v>20</v>
      </c>
      <c r="C18" s="31"/>
      <c r="D18" s="32">
        <f t="shared" si="0"/>
        <v>78000</v>
      </c>
      <c r="E18" s="33">
        <f t="shared" si="3"/>
        <v>1.5267725694683563E-2</v>
      </c>
      <c r="F18" s="34">
        <f t="shared" si="13"/>
        <v>6.6732713316019848E-2</v>
      </c>
      <c r="G18" s="35"/>
      <c r="H18" s="36">
        <f>H13</f>
        <v>26000</v>
      </c>
      <c r="I18" s="33">
        <f t="shared" si="5"/>
        <v>1.3774161402420252E-2</v>
      </c>
      <c r="J18" s="34">
        <f t="shared" si="6"/>
        <v>6.5935042341686095E-2</v>
      </c>
      <c r="K18" s="35"/>
      <c r="L18" s="36">
        <f t="shared" si="1"/>
        <v>52000</v>
      </c>
      <c r="M18" s="33">
        <f t="shared" si="11"/>
        <v>1.6142933573146258E-2</v>
      </c>
      <c r="N18" s="34">
        <f t="shared" si="7"/>
        <v>6.7138830415296641E-2</v>
      </c>
      <c r="O18" s="37"/>
      <c r="P18" s="38">
        <f>P13</f>
        <v>21500</v>
      </c>
      <c r="Q18" s="33">
        <f t="shared" si="8"/>
        <v>1.5863799557438676E-2</v>
      </c>
      <c r="R18" s="33">
        <f t="shared" si="9"/>
        <v>6.7460237412727303E-2</v>
      </c>
      <c r="S18" s="38">
        <f>S13</f>
        <v>30500</v>
      </c>
      <c r="T18" s="33">
        <f t="shared" si="10"/>
        <v>9.9433904235147419E-2</v>
      </c>
      <c r="U18" s="34">
        <f>S18/$S$23</f>
        <v>9.9433904235147419E-2</v>
      </c>
    </row>
    <row r="19" spans="2:21" x14ac:dyDescent="0.25">
      <c r="B19" s="31" t="s">
        <v>21</v>
      </c>
      <c r="C19" s="31"/>
      <c r="D19" s="32">
        <f t="shared" si="0"/>
        <v>7800</v>
      </c>
      <c r="E19" s="33">
        <f t="shared" si="3"/>
        <v>1.5267725694683564E-3</v>
      </c>
      <c r="F19" s="34">
        <f t="shared" si="13"/>
        <v>6.6732713316019843E-3</v>
      </c>
      <c r="G19" s="35"/>
      <c r="H19" s="36">
        <f>H18*0.1</f>
        <v>2600</v>
      </c>
      <c r="I19" s="33">
        <f t="shared" si="5"/>
        <v>1.377416140242025E-3</v>
      </c>
      <c r="J19" s="34">
        <f t="shared" si="6"/>
        <v>6.5935042341686099E-3</v>
      </c>
      <c r="K19" s="35"/>
      <c r="L19" s="36">
        <f t="shared" si="1"/>
        <v>5200</v>
      </c>
      <c r="M19" s="33">
        <f t="shared" si="11"/>
        <v>1.6142933573146257E-3</v>
      </c>
      <c r="N19" s="34">
        <f t="shared" si="7"/>
        <v>6.7138830415296646E-3</v>
      </c>
      <c r="O19" s="37"/>
      <c r="P19" s="38">
        <f>P18*0.1</f>
        <v>2150</v>
      </c>
      <c r="Q19" s="33">
        <f t="shared" si="8"/>
        <v>1.5863799557438677E-3</v>
      </c>
      <c r="R19" s="33">
        <f t="shared" si="9"/>
        <v>6.7460237412727301E-3</v>
      </c>
      <c r="S19" s="38">
        <f>S18*0.1</f>
        <v>3050</v>
      </c>
      <c r="T19" s="33">
        <f t="shared" si="10"/>
        <v>9.9433904235147422E-3</v>
      </c>
      <c r="U19" s="34">
        <f t="shared" ref="U19:U20" si="14">S19/$S$23</f>
        <v>9.9433904235147422E-3</v>
      </c>
    </row>
    <row r="20" spans="2:21" x14ac:dyDescent="0.25">
      <c r="B20" s="31" t="s">
        <v>22</v>
      </c>
      <c r="C20" s="31"/>
      <c r="D20" s="32">
        <f t="shared" si="0"/>
        <v>70200</v>
      </c>
      <c r="E20" s="33">
        <f t="shared" si="3"/>
        <v>1.3740953125215208E-2</v>
      </c>
      <c r="F20" s="34">
        <f t="shared" si="13"/>
        <v>6.0059441984417858E-2</v>
      </c>
      <c r="G20" s="35"/>
      <c r="H20" s="36">
        <f>H18-H19</f>
        <v>23400</v>
      </c>
      <c r="I20" s="33">
        <f t="shared" si="5"/>
        <v>1.2396745262178226E-2</v>
      </c>
      <c r="J20" s="34">
        <f t="shared" si="6"/>
        <v>5.9341538107517487E-2</v>
      </c>
      <c r="K20" s="35"/>
      <c r="L20" s="36">
        <f t="shared" si="1"/>
        <v>46800</v>
      </c>
      <c r="M20" s="33">
        <f t="shared" si="11"/>
        <v>1.4528640215831631E-2</v>
      </c>
      <c r="N20" s="34">
        <f t="shared" si="7"/>
        <v>6.0424947373766982E-2</v>
      </c>
      <c r="O20" s="37"/>
      <c r="P20" s="38">
        <f>P18-P19</f>
        <v>19350</v>
      </c>
      <c r="Q20" s="33">
        <f t="shared" si="8"/>
        <v>1.427741960169481E-2</v>
      </c>
      <c r="R20" s="33">
        <f t="shared" si="9"/>
        <v>6.0714213671454569E-2</v>
      </c>
      <c r="S20" s="38">
        <f>S18-S19</f>
        <v>27450</v>
      </c>
      <c r="T20" s="33">
        <f t="shared" si="10"/>
        <v>8.9490513811632671E-2</v>
      </c>
      <c r="U20" s="34">
        <f t="shared" si="14"/>
        <v>8.9490513811632671E-2</v>
      </c>
    </row>
    <row r="21" spans="2:21" x14ac:dyDescent="0.25">
      <c r="D21" s="25">
        <f t="shared" si="0"/>
        <v>0</v>
      </c>
      <c r="E21" s="15"/>
      <c r="F21" s="16"/>
      <c r="H21" s="10"/>
      <c r="I21" s="15"/>
      <c r="J21" s="16"/>
      <c r="L21" s="29"/>
      <c r="M21" s="15"/>
      <c r="N21" s="16"/>
      <c r="O21" s="17"/>
      <c r="P21" s="17"/>
      <c r="Q21" s="15"/>
      <c r="R21" s="15"/>
      <c r="S21" s="17"/>
      <c r="T21" s="15"/>
      <c r="U21" s="16"/>
    </row>
    <row r="22" spans="2:21" x14ac:dyDescent="0.25">
      <c r="B22" s="18" t="s">
        <v>23</v>
      </c>
      <c r="C22" s="18"/>
      <c r="D22" s="39">
        <f t="shared" si="0"/>
        <v>5108815.9140271097</v>
      </c>
      <c r="E22" s="40"/>
      <c r="F22" s="41"/>
      <c r="G22" s="42"/>
      <c r="H22" s="43">
        <v>1887592.2272430721</v>
      </c>
      <c r="I22" s="40"/>
      <c r="J22" s="41"/>
      <c r="K22" s="42"/>
      <c r="L22" s="43">
        <f t="shared" si="1"/>
        <v>3221223.6867840374</v>
      </c>
      <c r="M22" s="40"/>
      <c r="N22" s="41"/>
      <c r="O22" s="42"/>
      <c r="P22" s="42">
        <v>1355286.9173714728</v>
      </c>
      <c r="Q22" s="40"/>
      <c r="R22" s="40"/>
      <c r="S22" s="42">
        <v>1865936.7694125643</v>
      </c>
      <c r="T22" s="40"/>
      <c r="U22" s="41"/>
    </row>
    <row r="23" spans="2:21" ht="15.75" thickBot="1" x14ac:dyDescent="0.3">
      <c r="B23" s="44" t="s">
        <v>24</v>
      </c>
      <c r="C23" s="44"/>
      <c r="D23" s="45">
        <f>H23+L23</f>
        <v>793316.49078240013</v>
      </c>
      <c r="E23" s="46"/>
      <c r="F23" s="47"/>
      <c r="G23" s="48"/>
      <c r="H23" s="49">
        <v>269489.59605120006</v>
      </c>
      <c r="I23" s="46"/>
      <c r="J23" s="47"/>
      <c r="K23" s="48"/>
      <c r="L23" s="102">
        <f t="shared" si="1"/>
        <v>523826.89473120001</v>
      </c>
      <c r="M23" s="46"/>
      <c r="N23" s="47"/>
      <c r="O23" s="50"/>
      <c r="P23" s="51">
        <v>217090.47283759998</v>
      </c>
      <c r="Q23" s="46"/>
      <c r="R23" s="46"/>
      <c r="S23" s="51">
        <v>306736.42189360003</v>
      </c>
      <c r="T23" s="46"/>
      <c r="U23" s="47"/>
    </row>
    <row r="24" spans="2:21" ht="15.75" thickBot="1" x14ac:dyDescent="0.3">
      <c r="B24" s="44" t="s">
        <v>52</v>
      </c>
      <c r="C24" s="44"/>
      <c r="D24" s="98">
        <f t="shared" ref="D24" si="15">H24+L24</f>
        <v>1168842.0285059102</v>
      </c>
      <c r="E24" s="99"/>
      <c r="F24" s="100"/>
      <c r="G24" s="101"/>
      <c r="H24" s="49">
        <v>394327.4937970583</v>
      </c>
      <c r="I24" s="99"/>
      <c r="J24" s="100"/>
      <c r="K24" s="101"/>
      <c r="L24" s="102">
        <f t="shared" si="1"/>
        <v>774514.53470885195</v>
      </c>
      <c r="M24" s="99"/>
      <c r="N24" s="100"/>
      <c r="O24" s="103"/>
      <c r="P24" s="104">
        <v>318706.26052590396</v>
      </c>
      <c r="Q24" s="99"/>
      <c r="R24" s="99"/>
      <c r="S24" s="104">
        <v>455808.27418294793</v>
      </c>
      <c r="T24" s="99"/>
      <c r="U24" s="100"/>
    </row>
    <row r="25" spans="2:21" ht="15.75" thickBot="1" x14ac:dyDescent="0.3">
      <c r="B25" s="31" t="s">
        <v>51</v>
      </c>
      <c r="D25" s="92">
        <f t="shared" ref="D25" si="16">H25+L25</f>
        <v>102000</v>
      </c>
      <c r="E25" s="93"/>
      <c r="F25" s="94"/>
      <c r="G25" s="95"/>
      <c r="H25" s="96">
        <f>ROUND(H13*1.3,-3)</f>
        <v>34000</v>
      </c>
      <c r="I25" s="93"/>
      <c r="J25" s="94"/>
      <c r="K25" s="95"/>
      <c r="L25" s="96">
        <f>ROUND(L13*1.3,-3)</f>
        <v>68000</v>
      </c>
      <c r="M25" s="33"/>
    </row>
    <row r="26" spans="2:21" x14ac:dyDescent="0.25">
      <c r="D26" s="52">
        <f>L26+H26</f>
        <v>101400</v>
      </c>
      <c r="H26" s="52">
        <f>H18*1.3</f>
        <v>33800</v>
      </c>
      <c r="L26" s="52">
        <f>L18*1.3</f>
        <v>67600</v>
      </c>
    </row>
    <row r="28" spans="2:21" x14ac:dyDescent="0.25">
      <c r="B28" s="31"/>
      <c r="H28" s="52">
        <f>L28*H23</f>
        <v>77169.461542105739</v>
      </c>
      <c r="J28" s="53"/>
      <c r="L28" s="97">
        <f>150000/L23</f>
        <v>0.2863541400961705</v>
      </c>
      <c r="N28" s="53"/>
    </row>
    <row r="29" spans="2:21" x14ac:dyDescent="0.25">
      <c r="B29" s="31"/>
      <c r="D29" s="91"/>
      <c r="H29" s="52">
        <f>0.4*H23</f>
        <v>107795.83842048002</v>
      </c>
      <c r="J29" s="53"/>
      <c r="L29" s="52">
        <f>0.4*L23</f>
        <v>209530.75789248</v>
      </c>
      <c r="N29" s="53"/>
    </row>
    <row r="30" spans="2:21" x14ac:dyDescent="0.25">
      <c r="H30" s="52"/>
      <c r="L30" s="52"/>
    </row>
    <row r="31" spans="2:21" x14ac:dyDescent="0.25">
      <c r="B31" s="31"/>
      <c r="H31" s="52"/>
      <c r="J31" s="53"/>
      <c r="L31" s="52"/>
      <c r="N31" s="53"/>
    </row>
    <row r="34" spans="8:12" x14ac:dyDescent="0.25">
      <c r="H34" s="105">
        <f>H23*0.01</f>
        <v>2694.8959605120008</v>
      </c>
      <c r="L34" s="105">
        <f>L23*0.01</f>
        <v>5238.2689473119999</v>
      </c>
    </row>
    <row r="35" spans="8:12" x14ac:dyDescent="0.25">
      <c r="H35" s="105">
        <f>ROUNDDOWN(H34,-2)</f>
        <v>2600</v>
      </c>
      <c r="L35" s="105">
        <f>ROUNDDOWN(L34,-2)</f>
        <v>5200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59"/>
  <sheetViews>
    <sheetView showGridLines="0" tabSelected="1" topLeftCell="I1" workbookViewId="0">
      <selection activeCell="N3" sqref="N3:U25"/>
    </sheetView>
  </sheetViews>
  <sheetFormatPr defaultRowHeight="15" x14ac:dyDescent="0.25"/>
  <cols>
    <col min="1" max="1" width="4.140625" customWidth="1"/>
    <col min="2" max="2" width="12.42578125" customWidth="1"/>
    <col min="5" max="5" width="13.7109375" customWidth="1"/>
    <col min="6" max="6" width="18" bestFit="1" customWidth="1"/>
    <col min="7" max="7" width="15.85546875" hidden="1" customWidth="1"/>
    <col min="8" max="11" width="18" bestFit="1" customWidth="1"/>
    <col min="12" max="13" width="6" customWidth="1"/>
    <col min="14" max="14" width="10.7109375" customWidth="1"/>
    <col min="17" max="17" width="12.5703125" customWidth="1"/>
    <col min="18" max="18" width="14.28515625" bestFit="1" customWidth="1"/>
    <col min="19" max="19" width="13.5703125" hidden="1" customWidth="1"/>
    <col min="20" max="21" width="14.28515625" bestFit="1" customWidth="1"/>
    <col min="22" max="22" width="9.140625" customWidth="1"/>
  </cols>
  <sheetData>
    <row r="1" spans="2:21" ht="9.75" customHeight="1" x14ac:dyDescent="0.25"/>
    <row r="2" spans="2:21" s="54" customFormat="1" ht="15.75" x14ac:dyDescent="0.25">
      <c r="B2" s="54" t="s">
        <v>25</v>
      </c>
      <c r="N2" s="54" t="s">
        <v>26</v>
      </c>
    </row>
    <row r="3" spans="2:21" ht="15.75" thickBot="1" x14ac:dyDescent="0.3">
      <c r="I3" s="55" t="s">
        <v>27</v>
      </c>
      <c r="J3" s="55"/>
      <c r="K3" s="56"/>
      <c r="U3" s="55" t="s">
        <v>27</v>
      </c>
    </row>
    <row r="4" spans="2:21" ht="15.75" thickBot="1" x14ac:dyDescent="0.3">
      <c r="F4" s="106" t="s">
        <v>0</v>
      </c>
      <c r="G4" s="107"/>
      <c r="H4" s="106" t="s">
        <v>1</v>
      </c>
      <c r="I4" s="107"/>
      <c r="J4" s="108" t="s">
        <v>28</v>
      </c>
      <c r="K4" s="110" t="s">
        <v>29</v>
      </c>
      <c r="L4" s="31"/>
      <c r="R4" s="106" t="s">
        <v>0</v>
      </c>
      <c r="S4" s="107"/>
      <c r="T4" s="106" t="s">
        <v>1</v>
      </c>
      <c r="U4" s="107"/>
    </row>
    <row r="5" spans="2:21" ht="48.75" thickBot="1" x14ac:dyDescent="0.3">
      <c r="B5" s="57" t="s">
        <v>30</v>
      </c>
      <c r="C5" s="112" t="s">
        <v>31</v>
      </c>
      <c r="D5" s="113"/>
      <c r="E5" s="58" t="s">
        <v>32</v>
      </c>
      <c r="F5" s="58" t="s">
        <v>4</v>
      </c>
      <c r="G5" s="58"/>
      <c r="H5" s="58" t="s">
        <v>33</v>
      </c>
      <c r="I5" s="58" t="s">
        <v>34</v>
      </c>
      <c r="J5" s="109"/>
      <c r="K5" s="111"/>
      <c r="L5" s="31"/>
      <c r="N5" s="57" t="s">
        <v>30</v>
      </c>
      <c r="O5" s="112" t="s">
        <v>31</v>
      </c>
      <c r="P5" s="113"/>
      <c r="Q5" s="58" t="s">
        <v>32</v>
      </c>
      <c r="R5" s="58" t="s">
        <v>4</v>
      </c>
      <c r="S5" s="58" t="s">
        <v>35</v>
      </c>
      <c r="T5" s="58" t="s">
        <v>33</v>
      </c>
      <c r="U5" s="58" t="s">
        <v>34</v>
      </c>
    </row>
    <row r="6" spans="2:21" ht="15.75" thickBot="1" x14ac:dyDescent="0.3">
      <c r="B6" s="59">
        <v>1</v>
      </c>
      <c r="C6" s="60">
        <f>2</f>
        <v>2</v>
      </c>
      <c r="D6" s="114" t="s">
        <v>36</v>
      </c>
      <c r="E6" s="60">
        <f t="shared" ref="E6:E23" si="0">C6+1</f>
        <v>3</v>
      </c>
      <c r="F6" s="61">
        <f t="shared" ref="F6:I21" si="1">F$30*F41</f>
        <v>3233875.1526144003</v>
      </c>
      <c r="G6" s="61">
        <f t="shared" si="1"/>
        <v>0</v>
      </c>
      <c r="H6" s="61">
        <f t="shared" si="1"/>
        <v>3680837.0627232003</v>
      </c>
      <c r="I6" s="61">
        <f t="shared" si="1"/>
        <v>2605085.6740512</v>
      </c>
      <c r="J6" s="117">
        <f>SUM(F6:G11)</f>
        <v>36704482.982173443</v>
      </c>
      <c r="K6" s="120">
        <f>SUM(H6:I11)</f>
        <v>62431937.637663834</v>
      </c>
      <c r="L6" s="31"/>
      <c r="N6" s="59">
        <v>1</v>
      </c>
      <c r="O6" s="60">
        <f>2</f>
        <v>2</v>
      </c>
      <c r="P6" s="114" t="s">
        <v>36</v>
      </c>
      <c r="Q6" s="60">
        <f t="shared" ref="Q6:Q23" si="2">O6+1</f>
        <v>3</v>
      </c>
      <c r="R6" s="62">
        <f>ROUND(F6/F$24*R$26,-3)</f>
        <v>468000</v>
      </c>
      <c r="S6" s="63"/>
      <c r="T6" s="62">
        <f t="shared" ref="T6:U21" si="3">ROUND(H6/H$24*T$26,-3)</f>
        <v>549000</v>
      </c>
      <c r="U6" s="62">
        <f>ROUND(I6/I$24*U$26,-3)</f>
        <v>387000</v>
      </c>
    </row>
    <row r="7" spans="2:21" ht="15.75" thickBot="1" x14ac:dyDescent="0.3">
      <c r="B7" s="59">
        <f t="shared" ref="B7:B23" si="4">B6+1</f>
        <v>2</v>
      </c>
      <c r="C7" s="60">
        <f t="shared" ref="C7:C23" si="5">C6+2</f>
        <v>4</v>
      </c>
      <c r="D7" s="115"/>
      <c r="E7" s="60">
        <f t="shared" si="0"/>
        <v>5</v>
      </c>
      <c r="F7" s="61">
        <f t="shared" si="1"/>
        <v>4527425.213660161</v>
      </c>
      <c r="G7" s="61">
        <f t="shared" si="1"/>
        <v>0</v>
      </c>
      <c r="H7" s="61">
        <f t="shared" si="1"/>
        <v>5214519.1721912008</v>
      </c>
      <c r="I7" s="61">
        <f t="shared" si="1"/>
        <v>4037882.7947793603</v>
      </c>
      <c r="J7" s="118"/>
      <c r="K7" s="121"/>
      <c r="L7" s="31"/>
      <c r="N7" s="59">
        <f t="shared" ref="N7:N23" si="6">N6+1</f>
        <v>2</v>
      </c>
      <c r="O7" s="60">
        <f t="shared" ref="O7:O23" si="7">O6+2</f>
        <v>4</v>
      </c>
      <c r="P7" s="115"/>
      <c r="Q7" s="60">
        <f t="shared" si="2"/>
        <v>5</v>
      </c>
      <c r="R7" s="62">
        <f t="shared" ref="R7:R23" si="8">ROUND(F7/F$24*R$26,-3)</f>
        <v>655000</v>
      </c>
      <c r="S7" s="63"/>
      <c r="T7" s="62">
        <f t="shared" si="3"/>
        <v>778000</v>
      </c>
      <c r="U7" s="62">
        <f t="shared" ref="U6:U23" si="9">ROUND(I7/I$24*U$26,-3)</f>
        <v>600000</v>
      </c>
    </row>
    <row r="8" spans="2:21" ht="15.75" thickBot="1" x14ac:dyDescent="0.3">
      <c r="B8" s="59">
        <f t="shared" si="4"/>
        <v>3</v>
      </c>
      <c r="C8" s="60">
        <f t="shared" si="5"/>
        <v>6</v>
      </c>
      <c r="D8" s="115"/>
      <c r="E8" s="60">
        <f t="shared" si="0"/>
        <v>7</v>
      </c>
      <c r="F8" s="61">
        <f t="shared" si="1"/>
        <v>5120302.3249728009</v>
      </c>
      <c r="G8" s="61">
        <f t="shared" si="1"/>
        <v>0</v>
      </c>
      <c r="H8" s="61">
        <f t="shared" si="1"/>
        <v>6380117.57538688</v>
      </c>
      <c r="I8" s="61">
        <f t="shared" si="1"/>
        <v>5687770.3883451205</v>
      </c>
      <c r="J8" s="118"/>
      <c r="K8" s="121"/>
      <c r="L8" s="31"/>
      <c r="N8" s="59">
        <f t="shared" si="6"/>
        <v>3</v>
      </c>
      <c r="O8" s="60">
        <f t="shared" si="7"/>
        <v>6</v>
      </c>
      <c r="P8" s="115"/>
      <c r="Q8" s="60">
        <f t="shared" si="2"/>
        <v>7</v>
      </c>
      <c r="R8" s="62">
        <f t="shared" si="8"/>
        <v>741000</v>
      </c>
      <c r="S8" s="63"/>
      <c r="T8" s="62">
        <f t="shared" si="3"/>
        <v>952000</v>
      </c>
      <c r="U8" s="62">
        <f t="shared" si="9"/>
        <v>845000</v>
      </c>
    </row>
    <row r="9" spans="2:21" ht="15.75" thickBot="1" x14ac:dyDescent="0.3">
      <c r="B9" s="59">
        <f t="shared" si="4"/>
        <v>4</v>
      </c>
      <c r="C9" s="60">
        <f t="shared" si="5"/>
        <v>8</v>
      </c>
      <c r="D9" s="115"/>
      <c r="E9" s="60">
        <f t="shared" si="0"/>
        <v>9</v>
      </c>
      <c r="F9" s="61">
        <f t="shared" si="1"/>
        <v>4958608.5673420811</v>
      </c>
      <c r="G9" s="61">
        <f t="shared" si="1"/>
        <v>0</v>
      </c>
      <c r="H9" s="61">
        <f t="shared" si="1"/>
        <v>4048920.7689955202</v>
      </c>
      <c r="I9" s="61">
        <f t="shared" si="1"/>
        <v>4211555.1730494406</v>
      </c>
      <c r="J9" s="118"/>
      <c r="K9" s="121"/>
      <c r="L9" s="31"/>
      <c r="N9" s="59">
        <f t="shared" si="6"/>
        <v>4</v>
      </c>
      <c r="O9" s="60">
        <f t="shared" si="7"/>
        <v>8</v>
      </c>
      <c r="P9" s="115"/>
      <c r="Q9" s="60">
        <f t="shared" si="2"/>
        <v>9</v>
      </c>
      <c r="R9" s="62">
        <f t="shared" si="8"/>
        <v>718000</v>
      </c>
      <c r="S9" s="63"/>
      <c r="T9" s="62">
        <f t="shared" si="3"/>
        <v>604000</v>
      </c>
      <c r="U9" s="62">
        <f t="shared" si="9"/>
        <v>626000</v>
      </c>
    </row>
    <row r="10" spans="2:21" ht="15.75" thickBot="1" x14ac:dyDescent="0.3">
      <c r="B10" s="59">
        <f t="shared" si="4"/>
        <v>5</v>
      </c>
      <c r="C10" s="60">
        <f t="shared" si="5"/>
        <v>10</v>
      </c>
      <c r="D10" s="115"/>
      <c r="E10" s="60">
        <f t="shared" si="0"/>
        <v>11</v>
      </c>
      <c r="F10" s="61">
        <f t="shared" si="1"/>
        <v>4527425.213660161</v>
      </c>
      <c r="G10" s="61">
        <f t="shared" si="1"/>
        <v>0</v>
      </c>
      <c r="H10" s="61">
        <f t="shared" si="1"/>
        <v>3680837.0627232003</v>
      </c>
      <c r="I10" s="61">
        <f t="shared" si="1"/>
        <v>3777374.2273742403</v>
      </c>
      <c r="J10" s="118"/>
      <c r="K10" s="121"/>
      <c r="L10" s="31"/>
      <c r="N10" s="59">
        <f t="shared" si="6"/>
        <v>5</v>
      </c>
      <c r="O10" s="60">
        <f t="shared" si="7"/>
        <v>10</v>
      </c>
      <c r="P10" s="115"/>
      <c r="Q10" s="60">
        <f t="shared" si="2"/>
        <v>11</v>
      </c>
      <c r="R10" s="62">
        <f t="shared" si="8"/>
        <v>655000</v>
      </c>
      <c r="S10" s="63"/>
      <c r="T10" s="62">
        <f t="shared" si="3"/>
        <v>549000</v>
      </c>
      <c r="U10" s="62">
        <f t="shared" si="9"/>
        <v>561000</v>
      </c>
    </row>
    <row r="11" spans="2:21" ht="15.75" thickBot="1" x14ac:dyDescent="0.3">
      <c r="B11" s="59">
        <f t="shared" si="4"/>
        <v>6</v>
      </c>
      <c r="C11" s="60">
        <f t="shared" si="5"/>
        <v>12</v>
      </c>
      <c r="D11" s="116"/>
      <c r="E11" s="60">
        <f t="shared" si="0"/>
        <v>13</v>
      </c>
      <c r="F11" s="61">
        <f t="shared" si="1"/>
        <v>14336846.50992384</v>
      </c>
      <c r="G11" s="61">
        <f t="shared" si="1"/>
        <v>0</v>
      </c>
      <c r="H11" s="61">
        <f t="shared" si="1"/>
        <v>9815565.5005952008</v>
      </c>
      <c r="I11" s="61">
        <f t="shared" si="1"/>
        <v>9291472.2374492791</v>
      </c>
      <c r="J11" s="119"/>
      <c r="K11" s="122"/>
      <c r="L11" s="31"/>
      <c r="N11" s="59">
        <f t="shared" si="6"/>
        <v>6</v>
      </c>
      <c r="O11" s="60">
        <f t="shared" si="7"/>
        <v>12</v>
      </c>
      <c r="P11" s="116"/>
      <c r="Q11" s="60">
        <f t="shared" si="2"/>
        <v>13</v>
      </c>
      <c r="R11" s="62">
        <f t="shared" si="8"/>
        <v>2075000</v>
      </c>
      <c r="S11" s="63"/>
      <c r="T11" s="62">
        <f t="shared" si="3"/>
        <v>1464000</v>
      </c>
      <c r="U11" s="62">
        <f t="shared" si="9"/>
        <v>1380000</v>
      </c>
    </row>
    <row r="12" spans="2:21" ht="15.75" thickBot="1" x14ac:dyDescent="0.3">
      <c r="B12" s="64">
        <f t="shared" si="4"/>
        <v>7</v>
      </c>
      <c r="C12" s="65">
        <f t="shared" si="5"/>
        <v>14</v>
      </c>
      <c r="D12" s="124" t="s">
        <v>37</v>
      </c>
      <c r="E12" s="66">
        <f t="shared" si="0"/>
        <v>15</v>
      </c>
      <c r="F12" s="67">
        <f t="shared" si="1"/>
        <v>14332739.315545524</v>
      </c>
      <c r="G12" s="67">
        <f t="shared" si="1"/>
        <v>0</v>
      </c>
      <c r="H12" s="67">
        <f t="shared" si="1"/>
        <v>14212120.881070133</v>
      </c>
      <c r="I12" s="67">
        <f t="shared" si="1"/>
        <v>10396170.857842632</v>
      </c>
      <c r="J12" s="127">
        <f>SUM(F12:G17)</f>
        <v>74326136.438302666</v>
      </c>
      <c r="K12" s="130">
        <f>SUM(H12:I17)</f>
        <v>140749307.14801186</v>
      </c>
      <c r="L12" s="31"/>
      <c r="N12" s="64">
        <f t="shared" si="6"/>
        <v>7</v>
      </c>
      <c r="O12" s="65">
        <f t="shared" si="7"/>
        <v>14</v>
      </c>
      <c r="P12" s="124" t="s">
        <v>37</v>
      </c>
      <c r="Q12" s="66">
        <f t="shared" si="2"/>
        <v>15</v>
      </c>
      <c r="R12" s="68">
        <f t="shared" si="8"/>
        <v>2074000</v>
      </c>
      <c r="S12" s="69"/>
      <c r="T12" s="68">
        <f t="shared" si="3"/>
        <v>2120000</v>
      </c>
      <c r="U12" s="68">
        <f t="shared" si="9"/>
        <v>1544000</v>
      </c>
    </row>
    <row r="13" spans="2:21" ht="15.75" thickBot="1" x14ac:dyDescent="0.3">
      <c r="B13" s="64">
        <f t="shared" si="4"/>
        <v>8</v>
      </c>
      <c r="C13" s="65">
        <f t="shared" si="5"/>
        <v>16</v>
      </c>
      <c r="D13" s="125"/>
      <c r="E13" s="66">
        <f t="shared" si="0"/>
        <v>17</v>
      </c>
      <c r="F13" s="67">
        <f t="shared" si="1"/>
        <v>8480965.2298623212</v>
      </c>
      <c r="G13" s="67">
        <f t="shared" si="1"/>
        <v>0</v>
      </c>
      <c r="H13" s="67">
        <f t="shared" si="1"/>
        <v>8322781.580713015</v>
      </c>
      <c r="I13" s="67">
        <f t="shared" si="1"/>
        <v>7549184.3712009611</v>
      </c>
      <c r="J13" s="128"/>
      <c r="K13" s="131"/>
      <c r="L13" s="31"/>
      <c r="N13" s="64">
        <f t="shared" si="6"/>
        <v>8</v>
      </c>
      <c r="O13" s="65">
        <f t="shared" si="7"/>
        <v>16</v>
      </c>
      <c r="P13" s="125"/>
      <c r="Q13" s="66">
        <f t="shared" si="2"/>
        <v>17</v>
      </c>
      <c r="R13" s="68">
        <f t="shared" si="8"/>
        <v>1227000</v>
      </c>
      <c r="S13" s="69"/>
      <c r="T13" s="68">
        <f t="shared" si="3"/>
        <v>1241000</v>
      </c>
      <c r="U13" s="68">
        <f t="shared" si="9"/>
        <v>1121000</v>
      </c>
    </row>
    <row r="14" spans="2:21" ht="15.75" thickBot="1" x14ac:dyDescent="0.3">
      <c r="B14" s="64">
        <f t="shared" si="4"/>
        <v>9</v>
      </c>
      <c r="C14" s="65">
        <f t="shared" si="5"/>
        <v>18</v>
      </c>
      <c r="D14" s="125"/>
      <c r="E14" s="66">
        <f t="shared" si="0"/>
        <v>19</v>
      </c>
      <c r="F14" s="67">
        <f t="shared" si="1"/>
        <v>7079619.3303960813</v>
      </c>
      <c r="G14" s="67">
        <f t="shared" si="1"/>
        <v>0</v>
      </c>
      <c r="H14" s="67">
        <f t="shared" si="1"/>
        <v>7571277.3470736947</v>
      </c>
      <c r="I14" s="67">
        <f t="shared" si="1"/>
        <v>6290059.6287428811</v>
      </c>
      <c r="J14" s="128"/>
      <c r="K14" s="131"/>
      <c r="L14" s="31"/>
      <c r="N14" s="64">
        <f t="shared" si="6"/>
        <v>9</v>
      </c>
      <c r="O14" s="65">
        <f t="shared" si="7"/>
        <v>18</v>
      </c>
      <c r="P14" s="125"/>
      <c r="Q14" s="66">
        <f t="shared" si="2"/>
        <v>19</v>
      </c>
      <c r="R14" s="68">
        <f t="shared" si="8"/>
        <v>1025000</v>
      </c>
      <c r="S14" s="69"/>
      <c r="T14" s="68">
        <f t="shared" si="3"/>
        <v>1129000</v>
      </c>
      <c r="U14" s="68">
        <f t="shared" si="9"/>
        <v>934000</v>
      </c>
    </row>
    <row r="15" spans="2:21" ht="15.75" thickBot="1" x14ac:dyDescent="0.3">
      <c r="B15" s="64">
        <f t="shared" si="4"/>
        <v>10</v>
      </c>
      <c r="C15" s="65">
        <f t="shared" si="5"/>
        <v>20</v>
      </c>
      <c r="D15" s="125"/>
      <c r="E15" s="66">
        <f t="shared" si="0"/>
        <v>21</v>
      </c>
      <c r="F15" s="67">
        <f t="shared" si="1"/>
        <v>7564700.6032882426</v>
      </c>
      <c r="G15" s="67">
        <f t="shared" si="1"/>
        <v>0</v>
      </c>
      <c r="H15" s="67">
        <f t="shared" si="1"/>
        <v>8573454.8330588341</v>
      </c>
      <c r="I15" s="67">
        <f t="shared" si="1"/>
        <v>6029551.0613377625</v>
      </c>
      <c r="J15" s="128"/>
      <c r="K15" s="131"/>
      <c r="L15" s="31"/>
      <c r="N15" s="64">
        <f t="shared" si="6"/>
        <v>10</v>
      </c>
      <c r="O15" s="65">
        <f t="shared" si="7"/>
        <v>20</v>
      </c>
      <c r="P15" s="125"/>
      <c r="Q15" s="66">
        <f t="shared" si="2"/>
        <v>21</v>
      </c>
      <c r="R15" s="68">
        <f t="shared" si="8"/>
        <v>1095000</v>
      </c>
      <c r="S15" s="69"/>
      <c r="T15" s="68">
        <f t="shared" si="3"/>
        <v>1279000</v>
      </c>
      <c r="U15" s="68">
        <f t="shared" si="9"/>
        <v>896000</v>
      </c>
    </row>
    <row r="16" spans="2:21" ht="15.75" thickBot="1" x14ac:dyDescent="0.3">
      <c r="B16" s="64">
        <f t="shared" si="4"/>
        <v>11</v>
      </c>
      <c r="C16" s="65">
        <f t="shared" si="5"/>
        <v>22</v>
      </c>
      <c r="D16" s="125"/>
      <c r="E16" s="66">
        <f t="shared" si="0"/>
        <v>23</v>
      </c>
      <c r="F16" s="67">
        <f t="shared" si="1"/>
        <v>8030532.619319601</v>
      </c>
      <c r="G16" s="67">
        <f t="shared" si="1"/>
        <v>0</v>
      </c>
      <c r="H16" s="67">
        <f t="shared" si="1"/>
        <v>16241865.380398834</v>
      </c>
      <c r="I16" s="67">
        <f t="shared" si="1"/>
        <v>6643606.9702212578</v>
      </c>
      <c r="J16" s="128"/>
      <c r="K16" s="131"/>
      <c r="L16" s="31"/>
      <c r="N16" s="64">
        <f t="shared" si="6"/>
        <v>11</v>
      </c>
      <c r="O16" s="65">
        <f t="shared" si="7"/>
        <v>22</v>
      </c>
      <c r="P16" s="125"/>
      <c r="Q16" s="66">
        <f t="shared" si="2"/>
        <v>23</v>
      </c>
      <c r="R16" s="68">
        <f t="shared" si="8"/>
        <v>1162000</v>
      </c>
      <c r="S16" s="69"/>
      <c r="T16" s="68">
        <f t="shared" si="3"/>
        <v>2422000</v>
      </c>
      <c r="U16" s="68">
        <f t="shared" si="9"/>
        <v>987000</v>
      </c>
    </row>
    <row r="17" spans="2:21" ht="15.75" thickBot="1" x14ac:dyDescent="0.3">
      <c r="B17" s="64">
        <f t="shared" si="4"/>
        <v>12</v>
      </c>
      <c r="C17" s="65">
        <f t="shared" si="5"/>
        <v>24</v>
      </c>
      <c r="D17" s="126"/>
      <c r="E17" s="66">
        <f t="shared" si="0"/>
        <v>25</v>
      </c>
      <c r="F17" s="67">
        <f t="shared" si="1"/>
        <v>28837579.33989089</v>
      </c>
      <c r="G17" s="67">
        <f t="shared" si="1"/>
        <v>0</v>
      </c>
      <c r="H17" s="67">
        <f t="shared" si="1"/>
        <v>30965213.631291639</v>
      </c>
      <c r="I17" s="67">
        <f t="shared" si="1"/>
        <v>17954020.60506022</v>
      </c>
      <c r="J17" s="129"/>
      <c r="K17" s="132"/>
      <c r="L17" s="31"/>
      <c r="N17" s="64">
        <f t="shared" si="6"/>
        <v>12</v>
      </c>
      <c r="O17" s="65">
        <f t="shared" si="7"/>
        <v>24</v>
      </c>
      <c r="P17" s="126"/>
      <c r="Q17" s="66">
        <f t="shared" si="2"/>
        <v>25</v>
      </c>
      <c r="R17" s="68">
        <f t="shared" si="8"/>
        <v>4173000</v>
      </c>
      <c r="S17" s="69"/>
      <c r="T17" s="68">
        <f t="shared" si="3"/>
        <v>4618000</v>
      </c>
      <c r="U17" s="68">
        <f t="shared" si="9"/>
        <v>2667000</v>
      </c>
    </row>
    <row r="18" spans="2:21" ht="15.75" thickBot="1" x14ac:dyDescent="0.3">
      <c r="B18" s="59">
        <f t="shared" si="4"/>
        <v>13</v>
      </c>
      <c r="C18" s="60">
        <f t="shared" si="5"/>
        <v>26</v>
      </c>
      <c r="D18" s="123" t="s">
        <v>38</v>
      </c>
      <c r="E18" s="60">
        <f t="shared" si="0"/>
        <v>27</v>
      </c>
      <c r="F18" s="61">
        <f t="shared" si="1"/>
        <v>25336664.496643938</v>
      </c>
      <c r="G18" s="61">
        <f t="shared" si="1"/>
        <v>0</v>
      </c>
      <c r="H18" s="61">
        <f t="shared" si="1"/>
        <v>27895658.437913533</v>
      </c>
      <c r="I18" s="61">
        <f t="shared" si="1"/>
        <v>22512920.534649815</v>
      </c>
      <c r="J18" s="117">
        <f>SUM(F18:G23)</f>
        <v>50663138.210243925</v>
      </c>
      <c r="K18" s="120">
        <f>SUM(H18:I23)</f>
        <v>111114892.0530443</v>
      </c>
      <c r="L18" s="31"/>
      <c r="N18" s="59">
        <f t="shared" si="6"/>
        <v>13</v>
      </c>
      <c r="O18" s="60">
        <f t="shared" si="7"/>
        <v>26</v>
      </c>
      <c r="P18" s="123" t="s">
        <v>38</v>
      </c>
      <c r="Q18" s="60">
        <f t="shared" si="2"/>
        <v>27</v>
      </c>
      <c r="R18" s="62">
        <f t="shared" si="8"/>
        <v>3667000</v>
      </c>
      <c r="S18" s="63"/>
      <c r="T18" s="62">
        <f t="shared" si="3"/>
        <v>4161000</v>
      </c>
      <c r="U18" s="62">
        <f t="shared" si="9"/>
        <v>3344000</v>
      </c>
    </row>
    <row r="19" spans="2:21" ht="15.75" thickBot="1" x14ac:dyDescent="0.3">
      <c r="B19" s="59">
        <f t="shared" si="4"/>
        <v>14</v>
      </c>
      <c r="C19" s="60">
        <f t="shared" si="5"/>
        <v>28</v>
      </c>
      <c r="D19" s="115"/>
      <c r="E19" s="60">
        <f t="shared" si="0"/>
        <v>29</v>
      </c>
      <c r="F19" s="61">
        <f t="shared" si="1"/>
        <v>15442546.470192736</v>
      </c>
      <c r="G19" s="61">
        <f t="shared" si="1"/>
        <v>0</v>
      </c>
      <c r="H19" s="61">
        <f t="shared" si="1"/>
        <v>14074991.65716476</v>
      </c>
      <c r="I19" s="61">
        <f t="shared" si="1"/>
        <v>15305516.836441496</v>
      </c>
      <c r="J19" s="118"/>
      <c r="K19" s="121"/>
      <c r="L19" s="31"/>
      <c r="N19" s="59">
        <f t="shared" si="6"/>
        <v>14</v>
      </c>
      <c r="O19" s="60">
        <f t="shared" si="7"/>
        <v>28</v>
      </c>
      <c r="P19" s="115"/>
      <c r="Q19" s="60">
        <f t="shared" si="2"/>
        <v>29</v>
      </c>
      <c r="R19" s="62">
        <f t="shared" si="8"/>
        <v>2235000</v>
      </c>
      <c r="S19" s="63"/>
      <c r="T19" s="62">
        <f t="shared" si="3"/>
        <v>2099000</v>
      </c>
      <c r="U19" s="62">
        <f t="shared" si="9"/>
        <v>2274000</v>
      </c>
    </row>
    <row r="20" spans="2:21" ht="15.75" thickBot="1" x14ac:dyDescent="0.3">
      <c r="B20" s="59">
        <f t="shared" si="4"/>
        <v>15</v>
      </c>
      <c r="C20" s="60">
        <f t="shared" si="5"/>
        <v>30</v>
      </c>
      <c r="D20" s="115"/>
      <c r="E20" s="60">
        <f t="shared" si="0"/>
        <v>31</v>
      </c>
      <c r="F20" s="61">
        <f t="shared" si="1"/>
        <v>9883927.2434072476</v>
      </c>
      <c r="G20" s="61">
        <f t="shared" si="1"/>
        <v>0</v>
      </c>
      <c r="H20" s="61">
        <f t="shared" si="1"/>
        <v>9013840.6959203593</v>
      </c>
      <c r="I20" s="61">
        <f t="shared" si="1"/>
        <v>7962112.3420143286</v>
      </c>
      <c r="J20" s="118"/>
      <c r="K20" s="121"/>
      <c r="L20" s="31"/>
      <c r="N20" s="59">
        <f t="shared" si="6"/>
        <v>15</v>
      </c>
      <c r="O20" s="60">
        <f t="shared" si="7"/>
        <v>30</v>
      </c>
      <c r="P20" s="115"/>
      <c r="Q20" s="60">
        <f t="shared" si="2"/>
        <v>31</v>
      </c>
      <c r="R20" s="62">
        <f>ROUND(F20/F$24*R$26,-3)</f>
        <v>1430000</v>
      </c>
      <c r="S20" s="63"/>
      <c r="T20" s="62">
        <f t="shared" si="3"/>
        <v>1344000</v>
      </c>
      <c r="U20" s="62">
        <f>ROUND(I20/I$24*U$26,-3)+1000</f>
        <v>1184000</v>
      </c>
    </row>
    <row r="21" spans="2:21" ht="15.75" thickBot="1" x14ac:dyDescent="0.3">
      <c r="B21" s="59">
        <f t="shared" si="4"/>
        <v>16</v>
      </c>
      <c r="C21" s="60">
        <f t="shared" si="5"/>
        <v>32</v>
      </c>
      <c r="D21" s="115"/>
      <c r="E21" s="60">
        <f t="shared" si="0"/>
        <v>33</v>
      </c>
      <c r="F21" s="61">
        <f t="shared" si="1"/>
        <v>0</v>
      </c>
      <c r="G21" s="61">
        <f t="shared" si="1"/>
        <v>0</v>
      </c>
      <c r="H21" s="61">
        <f t="shared" si="1"/>
        <v>6764440.2687006267</v>
      </c>
      <c r="I21" s="61">
        <f t="shared" si="1"/>
        <v>0</v>
      </c>
      <c r="J21" s="118"/>
      <c r="K21" s="121"/>
      <c r="L21" s="31"/>
      <c r="N21" s="59">
        <f t="shared" si="6"/>
        <v>16</v>
      </c>
      <c r="O21" s="60">
        <f t="shared" si="7"/>
        <v>32</v>
      </c>
      <c r="P21" s="115"/>
      <c r="Q21" s="60">
        <f t="shared" si="2"/>
        <v>33</v>
      </c>
      <c r="R21" s="62">
        <f t="shared" si="8"/>
        <v>0</v>
      </c>
      <c r="S21" s="63"/>
      <c r="T21" s="62">
        <f t="shared" si="3"/>
        <v>1009000</v>
      </c>
      <c r="U21" s="62">
        <f t="shared" si="9"/>
        <v>0</v>
      </c>
    </row>
    <row r="22" spans="2:21" ht="15.75" thickBot="1" x14ac:dyDescent="0.3">
      <c r="B22" s="59">
        <f t="shared" si="4"/>
        <v>17</v>
      </c>
      <c r="C22" s="60">
        <f t="shared" si="5"/>
        <v>34</v>
      </c>
      <c r="D22" s="115"/>
      <c r="E22" s="60">
        <f t="shared" si="0"/>
        <v>35</v>
      </c>
      <c r="F22" s="61">
        <f t="shared" ref="F22:I23" si="10">F$30*F57</f>
        <v>0</v>
      </c>
      <c r="G22" s="61">
        <f t="shared" si="10"/>
        <v>0</v>
      </c>
      <c r="H22" s="61">
        <f t="shared" si="10"/>
        <v>5200084.5170432664</v>
      </c>
      <c r="I22" s="61">
        <f t="shared" si="10"/>
        <v>0</v>
      </c>
      <c r="J22" s="118"/>
      <c r="K22" s="121"/>
      <c r="L22" s="31"/>
      <c r="N22" s="59">
        <f t="shared" si="6"/>
        <v>17</v>
      </c>
      <c r="O22" s="60">
        <f t="shared" si="7"/>
        <v>34</v>
      </c>
      <c r="P22" s="115"/>
      <c r="Q22" s="60">
        <f t="shared" si="2"/>
        <v>35</v>
      </c>
      <c r="R22" s="62">
        <f t="shared" si="8"/>
        <v>0</v>
      </c>
      <c r="S22" s="63"/>
      <c r="T22" s="62">
        <f t="shared" ref="T22:T23" si="11">ROUND(H22/H$24*T$26,-3)</f>
        <v>776000</v>
      </c>
      <c r="U22" s="62">
        <f t="shared" si="9"/>
        <v>0</v>
      </c>
    </row>
    <row r="23" spans="2:21" ht="15.75" thickBot="1" x14ac:dyDescent="0.3">
      <c r="B23" s="59">
        <f t="shared" si="4"/>
        <v>18</v>
      </c>
      <c r="C23" s="60">
        <f t="shared" si="5"/>
        <v>36</v>
      </c>
      <c r="D23" s="116"/>
      <c r="E23" s="60">
        <f t="shared" si="0"/>
        <v>37</v>
      </c>
      <c r="F23" s="61">
        <f t="shared" si="10"/>
        <v>0</v>
      </c>
      <c r="G23" s="61">
        <f t="shared" si="10"/>
        <v>0</v>
      </c>
      <c r="H23" s="61">
        <f t="shared" si="10"/>
        <v>2385326.7631961131</v>
      </c>
      <c r="I23" s="61">
        <f t="shared" si="10"/>
        <v>0</v>
      </c>
      <c r="J23" s="119"/>
      <c r="K23" s="122"/>
      <c r="L23" s="31"/>
      <c r="N23" s="59">
        <f t="shared" si="6"/>
        <v>18</v>
      </c>
      <c r="O23" s="60">
        <f t="shared" si="7"/>
        <v>36</v>
      </c>
      <c r="P23" s="116"/>
      <c r="Q23" s="60">
        <f t="shared" si="2"/>
        <v>37</v>
      </c>
      <c r="R23" s="70">
        <f t="shared" si="8"/>
        <v>0</v>
      </c>
      <c r="S23" s="71"/>
      <c r="T23" s="70">
        <f t="shared" si="11"/>
        <v>356000</v>
      </c>
      <c r="U23" s="70">
        <f t="shared" si="9"/>
        <v>0</v>
      </c>
    </row>
    <row r="24" spans="2:21" ht="15.75" thickBot="1" x14ac:dyDescent="0.3">
      <c r="E24" s="72" t="s">
        <v>39</v>
      </c>
      <c r="F24" s="73">
        <f t="shared" ref="F24:K24" si="12">SUM(F6:F23)</f>
        <v>161693757.63072002</v>
      </c>
      <c r="G24" s="74">
        <f t="shared" si="12"/>
        <v>0</v>
      </c>
      <c r="H24" s="74">
        <f t="shared" si="12"/>
        <v>184041853.13615999</v>
      </c>
      <c r="I24" s="74">
        <f t="shared" si="12"/>
        <v>130254283.70256001</v>
      </c>
      <c r="J24" s="75">
        <f t="shared" si="12"/>
        <v>161693757.63072002</v>
      </c>
      <c r="K24" s="76">
        <f t="shared" si="12"/>
        <v>314296136.83872002</v>
      </c>
      <c r="L24" s="31"/>
      <c r="Q24" s="77" t="s">
        <v>40</v>
      </c>
      <c r="R24" s="78">
        <f>RESUMO!H18*1000</f>
        <v>26000000</v>
      </c>
      <c r="S24" s="79"/>
      <c r="T24" s="78">
        <f>RESUMO!S18*1000</f>
        <v>30500000</v>
      </c>
      <c r="U24" s="78">
        <f>RESUMO!P18*1000</f>
        <v>21500000</v>
      </c>
    </row>
    <row r="25" spans="2:21" ht="15.75" thickBot="1" x14ac:dyDescent="0.3">
      <c r="Q25" s="77" t="s">
        <v>50</v>
      </c>
      <c r="R25" s="78">
        <f>R24*0.1</f>
        <v>2600000</v>
      </c>
      <c r="S25" s="78"/>
      <c r="T25" s="78">
        <f>T24*0.1</f>
        <v>3050000</v>
      </c>
      <c r="U25" s="78">
        <f>U24*0.1</f>
        <v>2150000</v>
      </c>
    </row>
    <row r="26" spans="2:21" ht="15.75" thickBot="1" x14ac:dyDescent="0.3">
      <c r="Q26" s="77" t="s">
        <v>41</v>
      </c>
      <c r="R26" s="78">
        <f t="shared" ref="R26:U26" si="13">R24-R25</f>
        <v>23400000</v>
      </c>
      <c r="S26" s="78">
        <f t="shared" si="13"/>
        <v>0</v>
      </c>
      <c r="T26" s="78">
        <f t="shared" si="13"/>
        <v>27450000</v>
      </c>
      <c r="U26" s="78">
        <f t="shared" si="13"/>
        <v>19350000</v>
      </c>
    </row>
    <row r="28" spans="2:21" x14ac:dyDescent="0.25">
      <c r="F28" s="3" t="s">
        <v>42</v>
      </c>
      <c r="G28" s="3"/>
      <c r="H28" s="3" t="s">
        <v>43</v>
      </c>
      <c r="I28" s="3" t="s">
        <v>44</v>
      </c>
      <c r="J28" s="3"/>
      <c r="K28" s="3"/>
      <c r="R28" s="80">
        <f t="shared" ref="R28:T28" si="14">SUM(R6:R23)-R26</f>
        <v>0</v>
      </c>
      <c r="S28" s="80">
        <f t="shared" si="14"/>
        <v>0</v>
      </c>
      <c r="T28" s="80">
        <f t="shared" si="14"/>
        <v>0</v>
      </c>
      <c r="U28" s="80">
        <f>SUM(U6:U23)-U26</f>
        <v>0</v>
      </c>
    </row>
    <row r="29" spans="2:21" x14ac:dyDescent="0.25">
      <c r="D29" s="9" t="s">
        <v>45</v>
      </c>
      <c r="F29" s="81">
        <v>269489596.05120003</v>
      </c>
      <c r="G29" s="82"/>
      <c r="H29" s="81">
        <v>306736421.89360005</v>
      </c>
      <c r="I29" s="81">
        <v>217090472.83759999</v>
      </c>
      <c r="J29" s="83"/>
      <c r="K29" s="83"/>
    </row>
    <row r="30" spans="2:21" x14ac:dyDescent="0.25">
      <c r="C30" s="84">
        <v>0.6</v>
      </c>
      <c r="D30" s="9" t="s">
        <v>46</v>
      </c>
      <c r="E30" s="18"/>
      <c r="F30" s="85">
        <f>F$29*$C$30</f>
        <v>161693757.63072002</v>
      </c>
      <c r="G30" s="85">
        <f>G$29*$C$30</f>
        <v>0</v>
      </c>
      <c r="H30" s="85">
        <f>H$29*$C$30</f>
        <v>184041853.13616002</v>
      </c>
      <c r="I30" s="85">
        <f>I$29*$C$30</f>
        <v>130254283.70255999</v>
      </c>
      <c r="J30" s="83"/>
      <c r="K30" s="83"/>
    </row>
    <row r="31" spans="2:21" x14ac:dyDescent="0.25">
      <c r="E31" t="s">
        <v>47</v>
      </c>
      <c r="F31" s="86">
        <f>SUM(F41:F46)</f>
        <v>0.22699999999999998</v>
      </c>
      <c r="G31" s="86"/>
      <c r="H31" s="86">
        <f>SUM(H41:H46)</f>
        <v>0.17833333333333334</v>
      </c>
      <c r="I31" s="86">
        <f>SUM(I41:I46)</f>
        <v>0.22733333333333333</v>
      </c>
      <c r="J31" s="83"/>
      <c r="K31" s="83"/>
    </row>
    <row r="32" spans="2:21" x14ac:dyDescent="0.25">
      <c r="E32" t="s">
        <v>48</v>
      </c>
      <c r="F32" s="86">
        <f>SUM(F47:F52)</f>
        <v>0.45967226890756302</v>
      </c>
      <c r="G32" s="86"/>
      <c r="H32" s="86">
        <f>SUM(H47:H52)</f>
        <v>0.46666946778711482</v>
      </c>
      <c r="I32" s="86">
        <f>SUM(I47:I52)</f>
        <v>0.42119607843137258</v>
      </c>
    </row>
    <row r="33" spans="2:11" x14ac:dyDescent="0.25">
      <c r="E33" t="s">
        <v>49</v>
      </c>
      <c r="F33" s="86">
        <f>SUM(F53:F58)</f>
        <v>0.31332773109243695</v>
      </c>
      <c r="G33" s="86"/>
      <c r="H33" s="86">
        <f>SUM(H53:H58)</f>
        <v>0.35499719887955183</v>
      </c>
      <c r="I33" s="86">
        <f>SUM(I53:I58)</f>
        <v>0.35147058823529409</v>
      </c>
      <c r="J33" s="81"/>
      <c r="K33" s="81"/>
    </row>
    <row r="34" spans="2:11" x14ac:dyDescent="0.25">
      <c r="F34" s="86"/>
      <c r="G34" s="86"/>
      <c r="H34" s="86"/>
      <c r="I34" s="86"/>
    </row>
    <row r="38" spans="2:11" ht="15.75" thickBot="1" x14ac:dyDescent="0.3"/>
    <row r="39" spans="2:11" ht="15.75" thickBot="1" x14ac:dyDescent="0.3">
      <c r="F39" s="106" t="s">
        <v>0</v>
      </c>
      <c r="G39" s="107"/>
      <c r="H39" s="106" t="s">
        <v>1</v>
      </c>
      <c r="I39" s="107"/>
    </row>
    <row r="40" spans="2:11" ht="48.75" thickBot="1" x14ac:dyDescent="0.3">
      <c r="B40" s="57" t="s">
        <v>30</v>
      </c>
      <c r="C40" s="112" t="s">
        <v>31</v>
      </c>
      <c r="D40" s="113"/>
      <c r="E40" s="58" t="s">
        <v>32</v>
      </c>
      <c r="F40" s="58" t="s">
        <v>4</v>
      </c>
      <c r="G40" s="58" t="s">
        <v>35</v>
      </c>
      <c r="H40" s="58" t="s">
        <v>33</v>
      </c>
      <c r="I40" s="58" t="s">
        <v>34</v>
      </c>
    </row>
    <row r="41" spans="2:11" ht="15.75" thickBot="1" x14ac:dyDescent="0.3">
      <c r="B41" s="59">
        <v>1</v>
      </c>
      <c r="C41" s="60">
        <f>2</f>
        <v>2</v>
      </c>
      <c r="D41" s="114" t="s">
        <v>36</v>
      </c>
      <c r="E41" s="60">
        <f t="shared" ref="E41:E58" si="15">C41+1</f>
        <v>3</v>
      </c>
      <c r="F41" s="87">
        <v>0.02</v>
      </c>
      <c r="G41" s="87"/>
      <c r="H41" s="87">
        <v>0.02</v>
      </c>
      <c r="I41" s="87">
        <v>0.02</v>
      </c>
    </row>
    <row r="42" spans="2:11" ht="15.75" thickBot="1" x14ac:dyDescent="0.3">
      <c r="B42" s="59">
        <f t="shared" ref="B42:B58" si="16">B41+1</f>
        <v>2</v>
      </c>
      <c r="C42" s="60">
        <f t="shared" ref="C42:C58" si="17">C41+2</f>
        <v>4</v>
      </c>
      <c r="D42" s="115"/>
      <c r="E42" s="60">
        <f t="shared" si="15"/>
        <v>5</v>
      </c>
      <c r="F42" s="87">
        <v>2.8000000000000001E-2</v>
      </c>
      <c r="G42" s="87"/>
      <c r="H42" s="87">
        <v>2.8333333333333335E-2</v>
      </c>
      <c r="I42" s="87">
        <v>3.1000000000000003E-2</v>
      </c>
    </row>
    <row r="43" spans="2:11" ht="15.75" thickBot="1" x14ac:dyDescent="0.3">
      <c r="B43" s="59">
        <f t="shared" si="16"/>
        <v>3</v>
      </c>
      <c r="C43" s="60">
        <f t="shared" si="17"/>
        <v>6</v>
      </c>
      <c r="D43" s="115"/>
      <c r="E43" s="60">
        <f t="shared" si="15"/>
        <v>7</v>
      </c>
      <c r="F43" s="87">
        <v>3.1666666666666669E-2</v>
      </c>
      <c r="G43" s="87"/>
      <c r="H43" s="87">
        <v>3.4666666666666665E-2</v>
      </c>
      <c r="I43" s="87">
        <v>4.3666666666666673E-2</v>
      </c>
    </row>
    <row r="44" spans="2:11" ht="15.75" thickBot="1" x14ac:dyDescent="0.3">
      <c r="B44" s="59">
        <f t="shared" si="16"/>
        <v>4</v>
      </c>
      <c r="C44" s="60">
        <f t="shared" si="17"/>
        <v>8</v>
      </c>
      <c r="D44" s="115"/>
      <c r="E44" s="60">
        <f t="shared" si="15"/>
        <v>9</v>
      </c>
      <c r="F44" s="87">
        <v>3.0666666666666668E-2</v>
      </c>
      <c r="G44" s="87"/>
      <c r="H44" s="87">
        <v>2.1999999999999999E-2</v>
      </c>
      <c r="I44" s="87">
        <v>3.2333333333333339E-2</v>
      </c>
    </row>
    <row r="45" spans="2:11" ht="15.75" thickBot="1" x14ac:dyDescent="0.3">
      <c r="B45" s="59">
        <f t="shared" si="16"/>
        <v>5</v>
      </c>
      <c r="C45" s="60">
        <f t="shared" si="17"/>
        <v>10</v>
      </c>
      <c r="D45" s="115"/>
      <c r="E45" s="60">
        <f t="shared" si="15"/>
        <v>11</v>
      </c>
      <c r="F45" s="87">
        <v>2.8000000000000004E-2</v>
      </c>
      <c r="G45" s="87"/>
      <c r="H45" s="87">
        <v>0.02</v>
      </c>
      <c r="I45" s="87">
        <v>2.9000000000000005E-2</v>
      </c>
    </row>
    <row r="46" spans="2:11" ht="15.75" thickBot="1" x14ac:dyDescent="0.3">
      <c r="B46" s="59">
        <f t="shared" si="16"/>
        <v>6</v>
      </c>
      <c r="C46" s="60">
        <f t="shared" si="17"/>
        <v>12</v>
      </c>
      <c r="D46" s="116"/>
      <c r="E46" s="60">
        <f t="shared" si="15"/>
        <v>13</v>
      </c>
      <c r="F46" s="87">
        <v>8.8666666666666658E-2</v>
      </c>
      <c r="G46" s="87"/>
      <c r="H46" s="87">
        <v>5.333333333333333E-2</v>
      </c>
      <c r="I46" s="87">
        <v>7.1333333333333332E-2</v>
      </c>
    </row>
    <row r="47" spans="2:11" ht="15.75" thickBot="1" x14ac:dyDescent="0.3">
      <c r="B47" s="64">
        <f t="shared" si="16"/>
        <v>7</v>
      </c>
      <c r="C47" s="65">
        <f t="shared" si="17"/>
        <v>14</v>
      </c>
      <c r="D47" s="124" t="s">
        <v>37</v>
      </c>
      <c r="E47" s="66">
        <f t="shared" si="15"/>
        <v>15</v>
      </c>
      <c r="F47" s="88">
        <v>8.8641265597147967E-2</v>
      </c>
      <c r="G47" s="88"/>
      <c r="H47" s="88">
        <v>7.722222222222222E-2</v>
      </c>
      <c r="I47" s="88">
        <v>7.9814425770308145E-2</v>
      </c>
    </row>
    <row r="48" spans="2:11" ht="15.75" thickBot="1" x14ac:dyDescent="0.3">
      <c r="B48" s="64">
        <f t="shared" si="16"/>
        <v>8</v>
      </c>
      <c r="C48" s="65">
        <f t="shared" si="17"/>
        <v>16</v>
      </c>
      <c r="D48" s="125"/>
      <c r="E48" s="66">
        <f t="shared" si="15"/>
        <v>17</v>
      </c>
      <c r="F48" s="88">
        <v>5.2450789406671763E-2</v>
      </c>
      <c r="G48" s="88"/>
      <c r="H48" s="88">
        <v>4.5222222222222226E-2</v>
      </c>
      <c r="I48" s="88">
        <v>5.7957282913165264E-2</v>
      </c>
    </row>
    <row r="49" spans="2:9" ht="15.75" thickBot="1" x14ac:dyDescent="0.3">
      <c r="B49" s="64">
        <f t="shared" si="16"/>
        <v>9</v>
      </c>
      <c r="C49" s="65">
        <f t="shared" si="17"/>
        <v>18</v>
      </c>
      <c r="D49" s="125"/>
      <c r="E49" s="66">
        <f t="shared" si="15"/>
        <v>19</v>
      </c>
      <c r="F49" s="88">
        <v>4.3784122740005101E-2</v>
      </c>
      <c r="G49" s="88"/>
      <c r="H49" s="88">
        <v>4.1138888888888892E-2</v>
      </c>
      <c r="I49" s="88">
        <v>4.8290616246498601E-2</v>
      </c>
    </row>
    <row r="50" spans="2:9" ht="15.75" thickBot="1" x14ac:dyDescent="0.3">
      <c r="B50" s="64">
        <f t="shared" si="16"/>
        <v>10</v>
      </c>
      <c r="C50" s="65">
        <f t="shared" si="17"/>
        <v>20</v>
      </c>
      <c r="D50" s="125"/>
      <c r="E50" s="66">
        <f t="shared" si="15"/>
        <v>21</v>
      </c>
      <c r="F50" s="88">
        <v>4.6784122740005103E-2</v>
      </c>
      <c r="G50" s="88"/>
      <c r="H50" s="88">
        <v>4.6584267040149396E-2</v>
      </c>
      <c r="I50" s="88">
        <v>4.6290616246498606E-2</v>
      </c>
    </row>
    <row r="51" spans="2:9" ht="15.75" thickBot="1" x14ac:dyDescent="0.3">
      <c r="B51" s="64">
        <f t="shared" si="16"/>
        <v>11</v>
      </c>
      <c r="C51" s="65">
        <f t="shared" si="17"/>
        <v>22</v>
      </c>
      <c r="D51" s="125"/>
      <c r="E51" s="66">
        <f t="shared" si="15"/>
        <v>23</v>
      </c>
      <c r="F51" s="88">
        <v>4.9665075120957476E-2</v>
      </c>
      <c r="G51" s="88"/>
      <c r="H51" s="88">
        <v>8.8250933706816054E-2</v>
      </c>
      <c r="I51" s="88">
        <v>5.1004901960784312E-2</v>
      </c>
    </row>
    <row r="52" spans="2:9" ht="15.75" thickBot="1" x14ac:dyDescent="0.3">
      <c r="B52" s="64">
        <f t="shared" si="16"/>
        <v>12</v>
      </c>
      <c r="C52" s="65">
        <f t="shared" si="17"/>
        <v>24</v>
      </c>
      <c r="D52" s="126"/>
      <c r="E52" s="66">
        <f t="shared" si="15"/>
        <v>25</v>
      </c>
      <c r="F52" s="88">
        <v>0.17834689330277564</v>
      </c>
      <c r="G52" s="88"/>
      <c r="H52" s="88">
        <v>0.16825093370681607</v>
      </c>
      <c r="I52" s="88">
        <v>0.13783823529411765</v>
      </c>
    </row>
    <row r="53" spans="2:9" ht="15.75" thickBot="1" x14ac:dyDescent="0.3">
      <c r="B53" s="59">
        <f t="shared" si="16"/>
        <v>13</v>
      </c>
      <c r="C53" s="60">
        <f t="shared" si="17"/>
        <v>26</v>
      </c>
      <c r="D53" s="123" t="s">
        <v>38</v>
      </c>
      <c r="E53" s="60">
        <f t="shared" si="15"/>
        <v>27</v>
      </c>
      <c r="F53" s="87">
        <v>0.1566953781512605</v>
      </c>
      <c r="G53" s="87"/>
      <c r="H53" s="87">
        <v>0.15157236227824461</v>
      </c>
      <c r="I53" s="87">
        <v>0.17283823529411763</v>
      </c>
    </row>
    <row r="54" spans="2:9" ht="15.75" thickBot="1" x14ac:dyDescent="0.3">
      <c r="B54" s="59">
        <f t="shared" si="16"/>
        <v>14</v>
      </c>
      <c r="C54" s="60">
        <f t="shared" si="17"/>
        <v>28</v>
      </c>
      <c r="D54" s="115"/>
      <c r="E54" s="60">
        <f t="shared" si="15"/>
        <v>29</v>
      </c>
      <c r="F54" s="87">
        <v>9.5504901960784316E-2</v>
      </c>
      <c r="G54" s="87"/>
      <c r="H54" s="87">
        <v>7.6477124183006534E-2</v>
      </c>
      <c r="I54" s="87">
        <v>0.11750490196078431</v>
      </c>
    </row>
    <row r="55" spans="2:9" ht="15.75" thickBot="1" x14ac:dyDescent="0.3">
      <c r="B55" s="59">
        <f t="shared" si="16"/>
        <v>15</v>
      </c>
      <c r="C55" s="60">
        <f t="shared" si="17"/>
        <v>30</v>
      </c>
      <c r="D55" s="115"/>
      <c r="E55" s="60">
        <f t="shared" si="15"/>
        <v>31</v>
      </c>
      <c r="F55" s="87">
        <v>6.1127450980392156E-2</v>
      </c>
      <c r="G55" s="87"/>
      <c r="H55" s="87">
        <v>4.8977124183006537E-2</v>
      </c>
      <c r="I55" s="87">
        <v>6.1127450980392156E-2</v>
      </c>
    </row>
    <row r="56" spans="2:9" ht="15.75" thickBot="1" x14ac:dyDescent="0.3">
      <c r="B56" s="59">
        <f t="shared" si="16"/>
        <v>16</v>
      </c>
      <c r="C56" s="60">
        <f t="shared" si="17"/>
        <v>32</v>
      </c>
      <c r="D56" s="115"/>
      <c r="E56" s="60">
        <f t="shared" si="15"/>
        <v>33</v>
      </c>
      <c r="F56" s="87"/>
      <c r="G56" s="87"/>
      <c r="H56" s="87">
        <v>3.6754901960784313E-2</v>
      </c>
      <c r="I56" s="87"/>
    </row>
    <row r="57" spans="2:9" ht="15.75" thickBot="1" x14ac:dyDescent="0.3">
      <c r="B57" s="59">
        <f t="shared" si="16"/>
        <v>17</v>
      </c>
      <c r="C57" s="60">
        <f t="shared" si="17"/>
        <v>34</v>
      </c>
      <c r="D57" s="115"/>
      <c r="E57" s="60">
        <f t="shared" si="15"/>
        <v>35</v>
      </c>
      <c r="F57" s="87"/>
      <c r="G57" s="87"/>
      <c r="H57" s="87">
        <v>2.8254901960784312E-2</v>
      </c>
      <c r="I57" s="87"/>
    </row>
    <row r="58" spans="2:9" ht="15.75" thickBot="1" x14ac:dyDescent="0.3">
      <c r="B58" s="59">
        <f t="shared" si="16"/>
        <v>18</v>
      </c>
      <c r="C58" s="60">
        <f t="shared" si="17"/>
        <v>36</v>
      </c>
      <c r="D58" s="116"/>
      <c r="E58" s="60">
        <f t="shared" si="15"/>
        <v>37</v>
      </c>
      <c r="F58" s="87"/>
      <c r="G58" s="87"/>
      <c r="H58" s="87">
        <v>1.296078431372549E-2</v>
      </c>
      <c r="I58" s="87"/>
    </row>
    <row r="59" spans="2:9" ht="15.75" thickBot="1" x14ac:dyDescent="0.3">
      <c r="E59" s="72" t="s">
        <v>39</v>
      </c>
      <c r="F59" s="89">
        <f>SUM(F41:F58)</f>
        <v>1</v>
      </c>
      <c r="G59" s="90">
        <f>SUM(G41:G58)</f>
        <v>0</v>
      </c>
      <c r="H59" s="90">
        <f>SUM(H41:H58)</f>
        <v>1</v>
      </c>
      <c r="I59" s="90">
        <f>SUM(I41:I58)</f>
        <v>1</v>
      </c>
    </row>
  </sheetData>
  <mergeCells count="26">
    <mergeCell ref="D53:D58"/>
    <mergeCell ref="D12:D17"/>
    <mergeCell ref="J12:J17"/>
    <mergeCell ref="K12:K17"/>
    <mergeCell ref="P12:P17"/>
    <mergeCell ref="D18:D23"/>
    <mergeCell ref="J18:J23"/>
    <mergeCell ref="K18:K23"/>
    <mergeCell ref="P18:P23"/>
    <mergeCell ref="F39:G39"/>
    <mergeCell ref="H39:I39"/>
    <mergeCell ref="C40:D40"/>
    <mergeCell ref="D41:D46"/>
    <mergeCell ref="D47:D52"/>
    <mergeCell ref="C5:D5"/>
    <mergeCell ref="O5:P5"/>
    <mergeCell ref="D6:D11"/>
    <mergeCell ref="J6:J11"/>
    <mergeCell ref="K6:K11"/>
    <mergeCell ref="P6:P11"/>
    <mergeCell ref="T4:U4"/>
    <mergeCell ref="F4:G4"/>
    <mergeCell ref="H4:I4"/>
    <mergeCell ref="J4:J5"/>
    <mergeCell ref="K4:K5"/>
    <mergeCell ref="R4:S4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U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RESUMO</vt:lpstr>
      <vt:lpstr>aporte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roberto</cp:lastModifiedBy>
  <dcterms:created xsi:type="dcterms:W3CDTF">2013-10-11T16:10:41Z</dcterms:created>
  <dcterms:modified xsi:type="dcterms:W3CDTF">2013-12-18T16:21:55Z</dcterms:modified>
</cp:coreProperties>
</file>